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/>
  </bookViews>
  <sheets>
    <sheet name="Dati" sheetId="1" r:id="rId1"/>
    <sheet name="Ud" sheetId="2" r:id="rId2"/>
    <sheet name="TFnd" sheetId="5" r:id="rId3"/>
    <sheet name="TVnd" sheetId="6" r:id="rId4"/>
  </sheets>
  <calcPr calcId="145621"/>
</workbook>
</file>

<file path=xl/calcChain.xml><?xml version="1.0" encoding="utf-8"?>
<calcChain xmlns="http://schemas.openxmlformats.org/spreadsheetml/2006/main">
  <c r="D32" i="6" l="1"/>
  <c r="C32" i="6"/>
  <c r="C32" i="5" l="1"/>
  <c r="D32" i="5"/>
  <c r="D27" i="5"/>
  <c r="C27" i="5"/>
  <c r="D20" i="5"/>
  <c r="C20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H33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F33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D27" i="6"/>
  <c r="C27" i="6"/>
  <c r="D20" i="6"/>
  <c r="C20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D7" i="1" l="1"/>
  <c r="C6" i="1"/>
  <c r="D6" i="1" s="1"/>
  <c r="C8" i="1" l="1"/>
  <c r="D8" i="1" s="1"/>
  <c r="D9" i="1" s="1"/>
  <c r="G63" i="1"/>
  <c r="E10" i="5"/>
  <c r="E20" i="6"/>
  <c r="E19" i="6"/>
  <c r="E18" i="6"/>
  <c r="E17" i="6"/>
  <c r="E16" i="6"/>
  <c r="E15" i="6"/>
  <c r="E14" i="6"/>
  <c r="E13" i="6"/>
  <c r="E12" i="6"/>
  <c r="E11" i="6"/>
  <c r="E10" i="6"/>
  <c r="C7" i="6" l="1"/>
  <c r="C33" i="1"/>
  <c r="B33" i="1"/>
  <c r="F17" i="1"/>
  <c r="B19" i="1"/>
  <c r="F18" i="1" l="1"/>
  <c r="F19" i="1" s="1"/>
  <c r="G20" i="6" l="1"/>
  <c r="G19" i="6"/>
  <c r="G18" i="6"/>
  <c r="G17" i="6"/>
  <c r="G16" i="6"/>
  <c r="G15" i="6"/>
  <c r="G14" i="6"/>
  <c r="G13" i="6"/>
  <c r="G12" i="6"/>
  <c r="G11" i="6"/>
  <c r="G10" i="6"/>
  <c r="B19" i="6"/>
  <c r="B18" i="6"/>
  <c r="B17" i="6"/>
  <c r="B16" i="6"/>
  <c r="B15" i="6"/>
  <c r="B14" i="6"/>
  <c r="B13" i="6"/>
  <c r="B12" i="6"/>
  <c r="B11" i="6"/>
  <c r="B10" i="6"/>
  <c r="B10" i="5"/>
  <c r="G10" i="5"/>
  <c r="B38" i="1"/>
  <c r="F30" i="2" l="1"/>
  <c r="F29" i="2"/>
  <c r="F28" i="2"/>
  <c r="F27" i="2"/>
  <c r="F26" i="2"/>
  <c r="F25" i="2"/>
  <c r="C12" i="2"/>
  <c r="C11" i="2"/>
  <c r="C10" i="2"/>
  <c r="C9" i="2"/>
  <c r="C8" i="2"/>
  <c r="C7" i="2"/>
  <c r="G34" i="5"/>
  <c r="F31" i="6"/>
  <c r="E30" i="2"/>
  <c r="G30" i="2" s="1"/>
  <c r="E29" i="2"/>
  <c r="G29" i="2" s="1"/>
  <c r="E28" i="2"/>
  <c r="G28" i="2" s="1"/>
  <c r="E27" i="2"/>
  <c r="E26" i="2"/>
  <c r="G26" i="2" s="1"/>
  <c r="E25" i="2"/>
  <c r="G25" i="2" s="1"/>
  <c r="F32" i="6"/>
  <c r="H32" i="6" s="1"/>
  <c r="F30" i="6"/>
  <c r="H30" i="6" s="1"/>
  <c r="F29" i="6"/>
  <c r="F28" i="6"/>
  <c r="F27" i="6"/>
  <c r="H27" i="6" s="1"/>
  <c r="F25" i="6"/>
  <c r="H25" i="6" s="1"/>
  <c r="F24" i="6"/>
  <c r="F23" i="6"/>
  <c r="F22" i="6"/>
  <c r="H22" i="6" s="1"/>
  <c r="F21" i="6"/>
  <c r="H21" i="6" s="1"/>
  <c r="F20" i="6"/>
  <c r="H20" i="6" s="1"/>
  <c r="F19" i="6"/>
  <c r="F18" i="6"/>
  <c r="F17" i="6"/>
  <c r="F16" i="6"/>
  <c r="F15" i="6"/>
  <c r="F14" i="6"/>
  <c r="F13" i="6"/>
  <c r="H13" i="6" s="1"/>
  <c r="F12" i="6"/>
  <c r="F11" i="6"/>
  <c r="F10" i="6"/>
  <c r="H10" i="6" s="1"/>
  <c r="H34" i="6" s="1"/>
  <c r="C5" i="6" s="1"/>
  <c r="F26" i="6" l="1"/>
  <c r="H26" i="6" s="1"/>
  <c r="H23" i="6"/>
  <c r="H12" i="6"/>
  <c r="H16" i="6"/>
  <c r="H19" i="6"/>
  <c r="H24" i="6"/>
  <c r="H29" i="6"/>
  <c r="H31" i="6"/>
  <c r="H14" i="6"/>
  <c r="H17" i="6"/>
  <c r="H11" i="6"/>
  <c r="H15" i="6"/>
  <c r="H18" i="6"/>
  <c r="H28" i="6"/>
  <c r="G27" i="2"/>
  <c r="G31" i="2" s="1"/>
  <c r="B18" i="1" l="1"/>
  <c r="C18" i="1" l="1"/>
  <c r="B17" i="1"/>
  <c r="C20" i="2" s="1"/>
  <c r="C22" i="2" s="1"/>
  <c r="F32" i="5"/>
  <c r="F31" i="5"/>
  <c r="F30" i="5"/>
  <c r="F29" i="5"/>
  <c r="F28" i="5"/>
  <c r="F27" i="5"/>
  <c r="F25" i="5"/>
  <c r="H25" i="5" s="1"/>
  <c r="F24" i="5"/>
  <c r="H24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E18" i="1" l="1"/>
  <c r="G18" i="1" s="1"/>
  <c r="C4" i="6" s="1"/>
  <c r="D18" i="1"/>
  <c r="C4" i="5" s="1"/>
  <c r="F33" i="5"/>
  <c r="H33" i="5" s="1"/>
  <c r="F26" i="5"/>
  <c r="H26" i="5" s="1"/>
  <c r="C17" i="1"/>
  <c r="H27" i="5"/>
  <c r="H29" i="5"/>
  <c r="H30" i="5"/>
  <c r="H31" i="5"/>
  <c r="H28" i="5"/>
  <c r="H32" i="5"/>
  <c r="C19" i="1" l="1"/>
  <c r="D17" i="1"/>
  <c r="B4" i="2" s="1"/>
  <c r="E17" i="1"/>
  <c r="E19" i="1" s="1"/>
  <c r="H34" i="5"/>
  <c r="C5" i="5" s="1"/>
  <c r="D12" i="2"/>
  <c r="D11" i="2"/>
  <c r="D10" i="2"/>
  <c r="D9" i="2"/>
  <c r="D8" i="2"/>
  <c r="D7" i="2"/>
  <c r="G17" i="1" l="1"/>
  <c r="D19" i="1"/>
  <c r="D13" i="2"/>
  <c r="G19" i="1" l="1"/>
  <c r="C19" i="2"/>
  <c r="C21" i="2" s="1"/>
  <c r="C6" i="6"/>
  <c r="I33" i="6" s="1"/>
  <c r="C6" i="5"/>
  <c r="K33" i="6" l="1"/>
  <c r="K62" i="1"/>
  <c r="H28" i="2"/>
  <c r="G30" i="1" s="1"/>
  <c r="H30" i="2"/>
  <c r="G32" i="1" s="1"/>
  <c r="H26" i="2"/>
  <c r="G28" i="1" s="1"/>
  <c r="H29" i="2"/>
  <c r="G31" i="1" s="1"/>
  <c r="H27" i="2"/>
  <c r="G29" i="1" s="1"/>
  <c r="H25" i="2"/>
  <c r="G27" i="1" s="1"/>
  <c r="I31" i="6"/>
  <c r="K60" i="1" s="1"/>
  <c r="I26" i="6"/>
  <c r="K55" i="1" s="1"/>
  <c r="I18" i="6"/>
  <c r="K47" i="1" s="1"/>
  <c r="I14" i="6"/>
  <c r="K43" i="1" s="1"/>
  <c r="I25" i="6"/>
  <c r="K54" i="1" s="1"/>
  <c r="I13" i="6"/>
  <c r="K42" i="1" s="1"/>
  <c r="I24" i="6"/>
  <c r="K53" i="1" s="1"/>
  <c r="I12" i="6"/>
  <c r="K41" i="1" s="1"/>
  <c r="I11" i="6"/>
  <c r="K40" i="1" s="1"/>
  <c r="I20" i="6"/>
  <c r="K49" i="1" s="1"/>
  <c r="I19" i="6"/>
  <c r="K48" i="1" s="1"/>
  <c r="I30" i="6"/>
  <c r="K59" i="1" s="1"/>
  <c r="I29" i="6"/>
  <c r="K58" i="1" s="1"/>
  <c r="I28" i="6"/>
  <c r="K57" i="1" s="1"/>
  <c r="I27" i="6"/>
  <c r="K56" i="1" s="1"/>
  <c r="I15" i="6"/>
  <c r="K44" i="1" s="1"/>
  <c r="I22" i="6"/>
  <c r="K51" i="1" s="1"/>
  <c r="I21" i="6"/>
  <c r="K50" i="1" s="1"/>
  <c r="I10" i="6"/>
  <c r="I23" i="6"/>
  <c r="K52" i="1" s="1"/>
  <c r="I32" i="6"/>
  <c r="K61" i="1" s="1"/>
  <c r="I17" i="6"/>
  <c r="K46" i="1" s="1"/>
  <c r="I16" i="6"/>
  <c r="K45" i="1" s="1"/>
  <c r="I17" i="5"/>
  <c r="J46" i="1" s="1"/>
  <c r="I22" i="5"/>
  <c r="J51" i="1" s="1"/>
  <c r="I14" i="5"/>
  <c r="J43" i="1" s="1"/>
  <c r="I23" i="5"/>
  <c r="J52" i="1" s="1"/>
  <c r="I27" i="5"/>
  <c r="J56" i="1" s="1"/>
  <c r="I31" i="5"/>
  <c r="J60" i="1" s="1"/>
  <c r="I30" i="5"/>
  <c r="J59" i="1" s="1"/>
  <c r="I26" i="5"/>
  <c r="J55" i="1" s="1"/>
  <c r="I11" i="5"/>
  <c r="J40" i="1" s="1"/>
  <c r="I20" i="5"/>
  <c r="J49" i="1" s="1"/>
  <c r="I12" i="5"/>
  <c r="J41" i="1" s="1"/>
  <c r="I19" i="5"/>
  <c r="J48" i="1" s="1"/>
  <c r="I28" i="5"/>
  <c r="J57" i="1" s="1"/>
  <c r="I25" i="5"/>
  <c r="J54" i="1" s="1"/>
  <c r="I18" i="5"/>
  <c r="J47" i="1" s="1"/>
  <c r="I10" i="5"/>
  <c r="I15" i="5"/>
  <c r="J44" i="1" s="1"/>
  <c r="I32" i="5"/>
  <c r="J61" i="1" s="1"/>
  <c r="I21" i="5"/>
  <c r="J50" i="1" s="1"/>
  <c r="I24" i="5"/>
  <c r="J53" i="1" s="1"/>
  <c r="I16" i="5"/>
  <c r="J45" i="1" s="1"/>
  <c r="I33" i="5"/>
  <c r="J62" i="1" s="1"/>
  <c r="I13" i="5"/>
  <c r="J42" i="1" s="1"/>
  <c r="I29" i="5"/>
  <c r="J58" i="1" s="1"/>
  <c r="K28" i="5" l="1"/>
  <c r="K30" i="5"/>
  <c r="K16" i="6"/>
  <c r="K10" i="6"/>
  <c r="K39" i="1"/>
  <c r="K28" i="6"/>
  <c r="K13" i="6"/>
  <c r="K18" i="6"/>
  <c r="K31" i="6"/>
  <c r="K21" i="5"/>
  <c r="K25" i="5"/>
  <c r="K11" i="5"/>
  <c r="K22" i="5"/>
  <c r="K32" i="6"/>
  <c r="K22" i="6"/>
  <c r="K11" i="6"/>
  <c r="I26" i="2"/>
  <c r="K29" i="5"/>
  <c r="K33" i="5"/>
  <c r="K32" i="5"/>
  <c r="K10" i="5"/>
  <c r="J39" i="1"/>
  <c r="K19" i="5"/>
  <c r="K27" i="5"/>
  <c r="K17" i="5"/>
  <c r="K17" i="6"/>
  <c r="K15" i="6"/>
  <c r="K30" i="6"/>
  <c r="K12" i="6"/>
  <c r="K14" i="6"/>
  <c r="K26" i="6"/>
  <c r="I25" i="2"/>
  <c r="I30" i="2"/>
  <c r="K24" i="5"/>
  <c r="K20" i="5"/>
  <c r="K14" i="5"/>
  <c r="K20" i="6"/>
  <c r="I29" i="2"/>
  <c r="K13" i="5"/>
  <c r="K15" i="5"/>
  <c r="K31" i="5"/>
  <c r="K29" i="6"/>
  <c r="K25" i="6"/>
  <c r="K16" i="5"/>
  <c r="K18" i="5"/>
  <c r="K12" i="5"/>
  <c r="K26" i="5"/>
  <c r="K23" i="5"/>
  <c r="K23" i="6"/>
  <c r="K21" i="6"/>
  <c r="K27" i="6"/>
  <c r="K19" i="6"/>
  <c r="K24" i="6"/>
  <c r="I27" i="2"/>
  <c r="I28" i="2"/>
  <c r="E12" i="2"/>
  <c r="F12" i="2" s="1"/>
  <c r="F32" i="1" s="1"/>
  <c r="E8" i="2"/>
  <c r="F8" i="2" s="1"/>
  <c r="F28" i="1" s="1"/>
  <c r="E10" i="2"/>
  <c r="F10" i="2" s="1"/>
  <c r="F30" i="1" s="1"/>
  <c r="E9" i="2"/>
  <c r="F9" i="2" s="1"/>
  <c r="F29" i="1" s="1"/>
  <c r="E11" i="2"/>
  <c r="F11" i="2" s="1"/>
  <c r="F31" i="1" s="1"/>
  <c r="E7" i="2"/>
  <c r="F7" i="2" s="1"/>
  <c r="F27" i="1" s="1"/>
  <c r="K34" i="6" l="1"/>
  <c r="K35" i="6" s="1"/>
  <c r="K34" i="5"/>
  <c r="K35" i="5" s="1"/>
  <c r="I31" i="2"/>
  <c r="I32" i="2" s="1"/>
  <c r="H8" i="2"/>
  <c r="H11" i="2"/>
  <c r="H12" i="2"/>
  <c r="H10" i="2"/>
  <c r="H7" i="2"/>
  <c r="H9" i="2"/>
  <c r="H13" i="2" l="1"/>
  <c r="H14" i="2" s="1"/>
</calcChain>
</file>

<file path=xl/sharedStrings.xml><?xml version="1.0" encoding="utf-8"?>
<sst xmlns="http://schemas.openxmlformats.org/spreadsheetml/2006/main" count="141" uniqueCount="104">
  <si>
    <t>Costi fissi</t>
  </si>
  <si>
    <t>QTnd</t>
  </si>
  <si>
    <t>Ud</t>
  </si>
  <si>
    <t>%</t>
  </si>
  <si>
    <t>Und</t>
  </si>
  <si>
    <t>Utenze</t>
  </si>
  <si>
    <t>Ctuf:</t>
  </si>
  <si>
    <t>TFd</t>
  </si>
  <si>
    <t>n</t>
  </si>
  <si>
    <t>Ka</t>
  </si>
  <si>
    <t>Sot(n)</t>
  </si>
  <si>
    <t>Ka.Stot(n)</t>
  </si>
  <si>
    <t>Quf</t>
  </si>
  <si>
    <t>Quf.Ka(n)</t>
  </si>
  <si>
    <t>Gettito</t>
  </si>
  <si>
    <t>6 o più</t>
  </si>
  <si>
    <t>Totale</t>
  </si>
  <si>
    <t>Qtot (kg)</t>
  </si>
  <si>
    <t>CVd (€)</t>
  </si>
  <si>
    <t>Cu (€/kg)</t>
  </si>
  <si>
    <t>Kb min</t>
  </si>
  <si>
    <t>Kb max</t>
  </si>
  <si>
    <t>Ps</t>
  </si>
  <si>
    <t>Kb(n)</t>
  </si>
  <si>
    <t>N(n)</t>
  </si>
  <si>
    <t>Kb(n).N(n)</t>
  </si>
  <si>
    <t>Quv</t>
  </si>
  <si>
    <t>Qapf</t>
  </si>
  <si>
    <t>Inserire % di aumento per utenze giornaliere (fino a 100%)</t>
  </si>
  <si>
    <t>Inserire</t>
  </si>
  <si>
    <t>TARIFFE</t>
  </si>
  <si>
    <t>Attività</t>
  </si>
  <si>
    <t>Kc</t>
  </si>
  <si>
    <t>Stot(ap)</t>
  </si>
  <si>
    <t>Stot(ap).Kc</t>
  </si>
  <si>
    <t>TF(ap)</t>
  </si>
  <si>
    <t>Musei, biblioteche, scuole, associazioni, luoghi di culto</t>
  </si>
  <si>
    <t>Stabilimenti balneari</t>
  </si>
  <si>
    <t>Esposizioni, autosaloni</t>
  </si>
  <si>
    <t>Alberghi con ristorante</t>
  </si>
  <si>
    <t>Alberghi senza ristorante</t>
  </si>
  <si>
    <t>Case di cura e riposo</t>
  </si>
  <si>
    <t>Uffici, agenzie, studi professionali</t>
  </si>
  <si>
    <t>Negozi abbigliamento, calzature, libreria, cartoleria, ferramenta, e altri beni durevoli</t>
  </si>
  <si>
    <t>Carrozzeria, autofficina, elettrauto</t>
  </si>
  <si>
    <t>Attività industriali con capannoni di produzione</t>
  </si>
  <si>
    <t>Attività artigianali di produzione beni specifici</t>
  </si>
  <si>
    <t>Bar, caffè, pasticceria</t>
  </si>
  <si>
    <t>Supermercato, pane e pasta, macelleria, salumi e formaggi, generi alimentari</t>
  </si>
  <si>
    <t>Campeggi, distributori carburanti, impianti sportivi</t>
  </si>
  <si>
    <t>Ristoranti, trattorie, osterie, pizzerie, mense, pub, birrerie</t>
  </si>
  <si>
    <t xml:space="preserve">Plurilicenze alimentari e/o miste </t>
  </si>
  <si>
    <t>Discoteche, night-club</t>
  </si>
  <si>
    <t>Ctapf</t>
  </si>
  <si>
    <t>TARIFFE UTENZE DOMESTICHE - PARTE FISSA</t>
  </si>
  <si>
    <t>TARIFFE UTENZE DOMESTICHE - PARTE VARIABILE</t>
  </si>
  <si>
    <t>Kd</t>
  </si>
  <si>
    <t>Cu</t>
  </si>
  <si>
    <t>CVnd</t>
  </si>
  <si>
    <t>TARIFFE UTENZE NON DOMESTICHE - PARTE FISSA</t>
  </si>
  <si>
    <t>TARIFFE UTENZE NON DOMESTICHE - PARTE VARIABILE</t>
  </si>
  <si>
    <t>TVd</t>
  </si>
  <si>
    <t>DATI DELLE UTENZE DOMESTICHE</t>
  </si>
  <si>
    <t>DATI DELLE UTENZE NON DOMESTICHE</t>
  </si>
  <si>
    <t>n.</t>
  </si>
  <si>
    <t>DATI GENERALI</t>
  </si>
  <si>
    <t>inserire</t>
  </si>
  <si>
    <t>kg</t>
  </si>
  <si>
    <t>Riduz. Rd Ud</t>
  </si>
  <si>
    <t>RIFIUTI</t>
  </si>
  <si>
    <t>Costi var.</t>
  </si>
  <si>
    <t>Costi var. corr.</t>
  </si>
  <si>
    <t xml:space="preserve">COSTI </t>
  </si>
  <si>
    <t xml:space="preserve"> - idem utenze giornaliere</t>
  </si>
  <si>
    <t>Stot(n)</t>
  </si>
  <si>
    <t>DISTRIBUZIONE DATI</t>
  </si>
  <si>
    <t>Riduz. Rd Ud       €</t>
  </si>
  <si>
    <t>Totale RSU        kg</t>
  </si>
  <si>
    <t xml:space="preserve">%  aumento utenze giornaliere </t>
  </si>
  <si>
    <r>
      <t>Inserire % aumento ut. giornaliere (</t>
    </r>
    <r>
      <rPr>
        <sz val="14"/>
        <color theme="1"/>
        <rFont val="Calibri"/>
        <family val="2"/>
      </rPr>
      <t>≤ 100%)</t>
    </r>
    <r>
      <rPr>
        <sz val="14"/>
        <color theme="1"/>
        <rFont val="Calibri"/>
        <family val="2"/>
        <scheme val="minor"/>
      </rPr>
      <t>:</t>
    </r>
  </si>
  <si>
    <t>Tariffe</t>
  </si>
  <si>
    <t>PROSPETTO DI CALCOLO DELLE TARIFFE</t>
  </si>
  <si>
    <t>Qnd</t>
  </si>
  <si>
    <t>Variabile €</t>
  </si>
  <si>
    <t>Fisso €/mq</t>
  </si>
  <si>
    <t>Variab. €/mq</t>
  </si>
  <si>
    <t>Tasso inflaz. Ip</t>
  </si>
  <si>
    <t>Recup. Prod. Xn</t>
  </si>
  <si>
    <t>Costi variabili</t>
  </si>
  <si>
    <t>Costi fissi no K n-1</t>
  </si>
  <si>
    <t>CKn</t>
  </si>
  <si>
    <t>Costi variab n-1</t>
  </si>
  <si>
    <t>TOTALE</t>
  </si>
  <si>
    <t xml:space="preserve">Costi fissi no K </t>
  </si>
  <si>
    <t>Comuni fino a 5.000 abitanti SUD</t>
  </si>
  <si>
    <t>Banche ed istituti di credito</t>
  </si>
  <si>
    <t>Edicola, farmacia, tabaccaio, plurilicenze</t>
  </si>
  <si>
    <t>Attività artigianali tipo botteghe: falegname, idraulico, fabbro, elettricista, parrucc.</t>
  </si>
  <si>
    <t>Ortofrutta, pescherie, fiori e piante</t>
  </si>
  <si>
    <t>Costi da coprire</t>
  </si>
  <si>
    <t>Kc min.</t>
  </si>
  <si>
    <t>Kc max.</t>
  </si>
  <si>
    <t>Kd min.</t>
  </si>
  <si>
    <t>Kd 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</si>
</sst>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0"/>
    <numFmt numFmtId="165" formatCode="#,##0.000"/>
    <numFmt numFmtId="166" formatCode="#,##0.00_ ;\-#,##0.00\ "/>
    <numFmt numFmtId="167" formatCode="_-&quot;€&quot;\ * #,##0.000_-;\-&quot;€&quot;\ * #,##0.000_-;_-&quot;€&quot;\ * &quot;-&quot;?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4" fontId="0" fillId="4" borderId="4" xfId="0" applyNumberFormat="1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/>
    <xf numFmtId="4" fontId="0" fillId="0" borderId="15" xfId="0" applyNumberFormat="1" applyFont="1" applyBorder="1"/>
    <xf numFmtId="164" fontId="0" fillId="0" borderId="15" xfId="0" applyNumberFormat="1" applyFont="1" applyBorder="1"/>
    <xf numFmtId="164" fontId="0" fillId="3" borderId="4" xfId="0" applyNumberFormat="1" applyFont="1" applyFill="1" applyBorder="1"/>
    <xf numFmtId="0" fontId="0" fillId="0" borderId="0" xfId="0" applyFont="1" applyBorder="1"/>
    <xf numFmtId="44" fontId="0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/>
    <xf numFmtId="164" fontId="0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1" fillId="0" borderId="0" xfId="0" applyNumberFormat="1" applyFont="1"/>
    <xf numFmtId="44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6" xfId="0" applyFont="1" applyFill="1" applyBorder="1"/>
    <xf numFmtId="44" fontId="0" fillId="0" borderId="4" xfId="0" applyNumberFormat="1" applyFont="1" applyFill="1" applyBorder="1" applyAlignment="1">
      <alignment horizontal="right"/>
    </xf>
    <xf numFmtId="9" fontId="0" fillId="6" borderId="0" xfId="0" applyNumberFormat="1" applyFont="1" applyFill="1"/>
    <xf numFmtId="0" fontId="0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19" xfId="0" applyFont="1" applyBorder="1" applyAlignment="1">
      <alignment horizontal="center" vertical="top" wrapText="1"/>
    </xf>
    <xf numFmtId="0" fontId="1" fillId="0" borderId="8" xfId="0" applyFont="1" applyBorder="1"/>
    <xf numFmtId="0" fontId="1" fillId="9" borderId="17" xfId="0" applyFont="1" applyFill="1" applyBorder="1" applyAlignment="1">
      <alignment horizontal="center"/>
    </xf>
    <xf numFmtId="0" fontId="0" fillId="0" borderId="18" xfId="0" applyFont="1" applyBorder="1" applyAlignment="1">
      <alignment vertical="top" wrapText="1"/>
    </xf>
    <xf numFmtId="9" fontId="0" fillId="7" borderId="18" xfId="0" applyNumberFormat="1" applyFont="1" applyFill="1" applyBorder="1"/>
    <xf numFmtId="164" fontId="0" fillId="0" borderId="18" xfId="0" applyNumberFormat="1" applyFont="1" applyBorder="1"/>
    <xf numFmtId="2" fontId="0" fillId="0" borderId="18" xfId="0" applyNumberFormat="1" applyFont="1" applyBorder="1"/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8" borderId="19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8" xfId="0" applyNumberFormat="1" applyFont="1" applyBorder="1"/>
    <xf numFmtId="4" fontId="1" fillId="0" borderId="9" xfId="0" applyNumberFormat="1" applyFont="1" applyBorder="1"/>
    <xf numFmtId="4" fontId="0" fillId="0" borderId="18" xfId="0" applyNumberFormat="1" applyFont="1" applyFill="1" applyBorder="1"/>
    <xf numFmtId="4" fontId="0" fillId="0" borderId="19" xfId="0" applyNumberFormat="1" applyFont="1" applyFill="1" applyBorder="1"/>
    <xf numFmtId="4" fontId="0" fillId="0" borderId="8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2" fontId="7" fillId="0" borderId="19" xfId="0" applyNumberFormat="1" applyFont="1" applyBorder="1" applyAlignment="1">
      <alignment horizontal="center" vertical="top" wrapText="1"/>
    </xf>
    <xf numFmtId="9" fontId="0" fillId="7" borderId="0" xfId="0" applyNumberFormat="1" applyFill="1"/>
    <xf numFmtId="3" fontId="0" fillId="0" borderId="0" xfId="0" applyNumberFormat="1"/>
    <xf numFmtId="0" fontId="6" fillId="0" borderId="19" xfId="0" applyFont="1" applyBorder="1" applyAlignment="1">
      <alignment horizontal="center" vertical="top" wrapText="1"/>
    </xf>
    <xf numFmtId="4" fontId="5" fillId="0" borderId="0" xfId="0" applyNumberFormat="1" applyFont="1"/>
    <xf numFmtId="4" fontId="0" fillId="0" borderId="0" xfId="0" applyNumberFormat="1" applyFill="1"/>
    <xf numFmtId="0" fontId="1" fillId="3" borderId="21" xfId="0" applyFont="1" applyFill="1" applyBorder="1" applyAlignment="1">
      <alignment horizontal="center"/>
    </xf>
    <xf numFmtId="3" fontId="0" fillId="3" borderId="0" xfId="0" applyNumberFormat="1" applyFill="1"/>
    <xf numFmtId="4" fontId="1" fillId="0" borderId="23" xfId="0" applyNumberFormat="1" applyFont="1" applyBorder="1"/>
    <xf numFmtId="9" fontId="2" fillId="10" borderId="15" xfId="0" applyNumberFormat="1" applyFont="1" applyFill="1" applyBorder="1" applyAlignment="1">
      <alignment horizontal="center" vertical="center" wrapText="1"/>
    </xf>
    <xf numFmtId="9" fontId="2" fillId="1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165" fontId="0" fillId="0" borderId="0" xfId="0" applyNumberFormat="1"/>
    <xf numFmtId="44" fontId="0" fillId="0" borderId="0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8" fillId="0" borderId="0" xfId="0" applyFont="1"/>
    <xf numFmtId="0" fontId="3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" fontId="0" fillId="9" borderId="18" xfId="0" applyNumberFormat="1" applyFont="1" applyFill="1" applyBorder="1"/>
    <xf numFmtId="4" fontId="0" fillId="8" borderId="19" xfId="0" applyNumberFormat="1" applyFont="1" applyFill="1" applyBorder="1"/>
    <xf numFmtId="164" fontId="0" fillId="11" borderId="0" xfId="0" applyNumberFormat="1" applyFill="1"/>
    <xf numFmtId="4" fontId="3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0" fillId="0" borderId="0" xfId="0" applyNumberFormat="1" applyFont="1" applyAlignment="1">
      <alignment horizontal="right"/>
    </xf>
    <xf numFmtId="0" fontId="0" fillId="0" borderId="15" xfId="0" applyFont="1" applyFill="1" applyBorder="1"/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" xfId="0" applyFont="1" applyBorder="1"/>
    <xf numFmtId="4" fontId="2" fillId="0" borderId="4" xfId="0" applyNumberFormat="1" applyFont="1" applyBorder="1"/>
    <xf numFmtId="4" fontId="2" fillId="0" borderId="15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44" fontId="2" fillId="0" borderId="4" xfId="0" applyNumberFormat="1" applyFont="1" applyBorder="1"/>
    <xf numFmtId="44" fontId="3" fillId="0" borderId="4" xfId="0" applyNumberFormat="1" applyFont="1" applyBorder="1"/>
    <xf numFmtId="44" fontId="2" fillId="0" borderId="15" xfId="0" applyNumberFormat="1" applyFont="1" applyBorder="1"/>
    <xf numFmtId="44" fontId="3" fillId="13" borderId="15" xfId="0" applyNumberFormat="1" applyFont="1" applyFill="1" applyBorder="1"/>
    <xf numFmtId="44" fontId="3" fillId="13" borderId="4" xfId="0" applyNumberFormat="1" applyFont="1" applyFill="1" applyBorder="1"/>
    <xf numFmtId="4" fontId="2" fillId="14" borderId="15" xfId="0" applyNumberFormat="1" applyFont="1" applyFill="1" applyBorder="1"/>
    <xf numFmtId="4" fontId="2" fillId="14" borderId="4" xfId="0" applyNumberFormat="1" applyFont="1" applyFill="1" applyBorder="1"/>
    <xf numFmtId="0" fontId="0" fillId="14" borderId="15" xfId="0" applyFont="1" applyFill="1" applyBorder="1"/>
    <xf numFmtId="0" fontId="0" fillId="14" borderId="4" xfId="0" applyFont="1" applyFill="1" applyBorder="1"/>
    <xf numFmtId="1" fontId="2" fillId="14" borderId="15" xfId="0" applyNumberFormat="1" applyFont="1" applyFill="1" applyBorder="1" applyAlignment="1">
      <alignment horizontal="center" vertical="center" wrapText="1"/>
    </xf>
    <xf numFmtId="1" fontId="2" fillId="14" borderId="4" xfId="0" applyNumberFormat="1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/>
    </xf>
    <xf numFmtId="4" fontId="0" fillId="14" borderId="18" xfId="0" applyNumberFormat="1" applyFont="1" applyFill="1" applyBorder="1"/>
    <xf numFmtId="4" fontId="0" fillId="14" borderId="19" xfId="0" applyNumberFormat="1" applyFont="1" applyFill="1" applyBorder="1"/>
    <xf numFmtId="0" fontId="2" fillId="0" borderId="19" xfId="0" applyFont="1" applyBorder="1" applyAlignment="1">
      <alignment horizontal="center"/>
    </xf>
    <xf numFmtId="44" fontId="2" fillId="12" borderId="15" xfId="0" applyNumberFormat="1" applyFont="1" applyFill="1" applyBorder="1"/>
    <xf numFmtId="44" fontId="2" fillId="12" borderId="4" xfId="0" applyNumberFormat="1" applyFont="1" applyFill="1" applyBorder="1"/>
    <xf numFmtId="4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4" fontId="0" fillId="14" borderId="15" xfId="0" applyNumberFormat="1" applyFont="1" applyFill="1" applyBorder="1"/>
    <xf numFmtId="167" fontId="0" fillId="9" borderId="4" xfId="0" applyNumberFormat="1" applyFont="1" applyFill="1" applyBorder="1"/>
    <xf numFmtId="167" fontId="0" fillId="0" borderId="0" xfId="0" applyNumberFormat="1" applyFont="1"/>
    <xf numFmtId="44" fontId="1" fillId="0" borderId="0" xfId="0" applyNumberFormat="1" applyFont="1" applyFill="1" applyBorder="1" applyAlignment="1">
      <alignment horizontal="right"/>
    </xf>
    <xf numFmtId="9" fontId="2" fillId="12" borderId="0" xfId="0" applyNumberFormat="1" applyFont="1" applyFill="1"/>
    <xf numFmtId="9" fontId="0" fillId="0" borderId="0" xfId="0" applyNumberFormat="1"/>
    <xf numFmtId="0" fontId="9" fillId="0" borderId="0" xfId="0" applyFont="1"/>
    <xf numFmtId="0" fontId="2" fillId="0" borderId="7" xfId="0" applyFont="1" applyBorder="1" applyAlignment="1">
      <alignment horizontal="center"/>
    </xf>
    <xf numFmtId="165" fontId="2" fillId="0" borderId="15" xfId="0" applyNumberFormat="1" applyFont="1" applyBorder="1"/>
    <xf numFmtId="0" fontId="4" fillId="3" borderId="0" xfId="0" applyFont="1" applyFill="1"/>
    <xf numFmtId="0" fontId="2" fillId="3" borderId="0" xfId="0" applyFont="1" applyFill="1"/>
    <xf numFmtId="0" fontId="13" fillId="0" borderId="0" xfId="0" applyFont="1"/>
    <xf numFmtId="9" fontId="0" fillId="14" borderId="18" xfId="0" applyNumberFormat="1" applyFont="1" applyFill="1" applyBorder="1"/>
    <xf numFmtId="9" fontId="2" fillId="14" borderId="15" xfId="0" applyNumberFormat="1" applyFont="1" applyFill="1" applyBorder="1" applyAlignment="1">
      <alignment horizontal="center" vertical="center" wrapText="1"/>
    </xf>
    <xf numFmtId="9" fontId="2" fillId="14" borderId="4" xfId="0" applyNumberFormat="1" applyFont="1" applyFill="1" applyBorder="1" applyAlignment="1">
      <alignment horizontal="center" vertical="center" wrapText="1"/>
    </xf>
    <xf numFmtId="165" fontId="0" fillId="3" borderId="18" xfId="0" applyNumberFormat="1" applyFont="1" applyFill="1" applyBorder="1"/>
    <xf numFmtId="165" fontId="0" fillId="3" borderId="19" xfId="0" applyNumberFormat="1" applyFont="1" applyFill="1" applyBorder="1"/>
    <xf numFmtId="0" fontId="2" fillId="0" borderId="4" xfId="0" applyFont="1" applyBorder="1"/>
    <xf numFmtId="0" fontId="2" fillId="0" borderId="15" xfId="0" applyFont="1" applyBorder="1"/>
    <xf numFmtId="10" fontId="2" fillId="5" borderId="15" xfId="0" applyNumberFormat="1" applyFont="1" applyFill="1" applyBorder="1"/>
    <xf numFmtId="10" fontId="2" fillId="5" borderId="4" xfId="0" applyNumberFormat="1" applyFont="1" applyFill="1" applyBorder="1"/>
    <xf numFmtId="0" fontId="3" fillId="0" borderId="0" xfId="0" applyFont="1" applyBorder="1" applyAlignment="1"/>
    <xf numFmtId="0" fontId="0" fillId="0" borderId="0" xfId="0" applyAlignment="1"/>
    <xf numFmtId="4" fontId="0" fillId="0" borderId="0" xfId="0" applyNumberFormat="1" applyAlignment="1"/>
    <xf numFmtId="4" fontId="3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/>
    <xf numFmtId="10" fontId="2" fillId="0" borderId="15" xfId="0" applyNumberFormat="1" applyFont="1" applyBorder="1" applyAlignment="1">
      <alignment horizontal="center"/>
    </xf>
    <xf numFmtId="0" fontId="6" fillId="8" borderId="1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34" xfId="0" applyFont="1" applyFill="1" applyBorder="1" applyAlignment="1">
      <alignment horizontal="center" vertical="top" wrapText="1"/>
    </xf>
    <xf numFmtId="2" fontId="7" fillId="8" borderId="19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/>
    <xf numFmtId="3" fontId="2" fillId="0" borderId="4" xfId="0" applyNumberFormat="1" applyFont="1" applyFill="1" applyBorder="1"/>
    <xf numFmtId="3" fontId="3" fillId="0" borderId="4" xfId="0" applyNumberFormat="1" applyFont="1" applyBorder="1"/>
    <xf numFmtId="3" fontId="1" fillId="0" borderId="23" xfId="0" applyNumberFormat="1" applyFont="1" applyBorder="1"/>
    <xf numFmtId="164" fontId="0" fillId="11" borderId="19" xfId="0" applyNumberFormat="1" applyFont="1" applyFill="1" applyBorder="1"/>
    <xf numFmtId="2" fontId="0" fillId="11" borderId="19" xfId="0" applyNumberFormat="1" applyFont="1" applyFill="1" applyBorder="1"/>
    <xf numFmtId="164" fontId="0" fillId="9" borderId="19" xfId="0" applyNumberFormat="1" applyFont="1" applyFill="1" applyBorder="1"/>
    <xf numFmtId="2" fontId="0" fillId="9" borderId="19" xfId="0" applyNumberFormat="1" applyFont="1" applyFill="1" applyBorder="1"/>
    <xf numFmtId="2" fontId="0" fillId="0" borderId="15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165" fontId="2" fillId="11" borderId="15" xfId="0" applyNumberFormat="1" applyFont="1" applyFill="1" applyBorder="1"/>
    <xf numFmtId="3" fontId="0" fillId="11" borderId="0" xfId="0" applyNumberFormat="1" applyFill="1"/>
    <xf numFmtId="4" fontId="0" fillId="11" borderId="0" xfId="0" applyNumberFormat="1" applyFill="1"/>
    <xf numFmtId="164" fontId="0" fillId="9" borderId="0" xfId="0" applyNumberFormat="1" applyFill="1"/>
    <xf numFmtId="4" fontId="0" fillId="8" borderId="18" xfId="0" applyNumberFormat="1" applyFont="1" applyFill="1" applyBorder="1"/>
    <xf numFmtId="0" fontId="3" fillId="0" borderId="1" xfId="0" applyFont="1" applyBorder="1"/>
    <xf numFmtId="0" fontId="2" fillId="0" borderId="4" xfId="0" applyFont="1" applyBorder="1" applyAlignment="1">
      <alignment horizontal="left"/>
    </xf>
    <xf numFmtId="0" fontId="2" fillId="0" borderId="35" xfId="0" applyFont="1" applyBorder="1"/>
    <xf numFmtId="0" fontId="6" fillId="0" borderId="30" xfId="0" applyFont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0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0" fillId="14" borderId="0" xfId="0" applyFont="1" applyFill="1" applyAlignment="1"/>
    <xf numFmtId="0" fontId="11" fillId="14" borderId="0" xfId="0" applyFont="1" applyFill="1" applyAlignment="1"/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23" xfId="0" applyBorder="1" applyAlignment="1"/>
    <xf numFmtId="0" fontId="0" fillId="0" borderId="3" xfId="0" applyBorder="1" applyAlignment="1"/>
    <xf numFmtId="0" fontId="0" fillId="8" borderId="30" xfId="0" applyFont="1" applyFill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6" fillId="0" borderId="32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28" xfId="0" applyBorder="1" applyAlignment="1">
      <alignment vertical="top"/>
    </xf>
    <xf numFmtId="0" fontId="10" fillId="2" borderId="2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G1" sqref="G1"/>
    </sheetView>
  </sheetViews>
  <sheetFormatPr defaultRowHeight="15.75" x14ac:dyDescent="0.25"/>
  <cols>
    <col min="1" max="1" width="20.5703125" style="2" customWidth="1"/>
    <col min="2" max="2" width="15.140625" style="2" customWidth="1"/>
    <col min="3" max="3" width="14.140625" style="2" customWidth="1"/>
    <col min="4" max="4" width="16.7109375" style="2" customWidth="1"/>
    <col min="5" max="5" width="15.140625" style="2" customWidth="1"/>
    <col min="6" max="6" width="16.7109375" style="2" customWidth="1"/>
    <col min="7" max="7" width="15.5703125" style="2" customWidth="1"/>
    <col min="8" max="8" width="10.28515625" style="2" customWidth="1"/>
    <col min="9" max="9" width="3.42578125" style="2" customWidth="1"/>
    <col min="10" max="10" width="12.140625" style="2" customWidth="1"/>
    <col min="11" max="11" width="13.28515625" style="2" customWidth="1"/>
    <col min="12" max="16384" width="9.140625" style="2"/>
  </cols>
  <sheetData>
    <row r="1" spans="1:7" ht="26.25" x14ac:dyDescent="0.4">
      <c r="A1" s="146" t="s">
        <v>81</v>
      </c>
      <c r="B1" s="147"/>
      <c r="C1" s="147"/>
      <c r="D1" s="147"/>
      <c r="G1" s="148"/>
    </row>
    <row r="3" spans="1:7" ht="21" x14ac:dyDescent="0.35">
      <c r="A3" s="199" t="s">
        <v>94</v>
      </c>
      <c r="B3" s="200"/>
      <c r="C3" s="200"/>
      <c r="D3" s="200"/>
    </row>
    <row r="4" spans="1:7" ht="19.5" thickBot="1" x14ac:dyDescent="0.35">
      <c r="A4" s="90"/>
    </row>
    <row r="5" spans="1:7" ht="16.5" thickBot="1" x14ac:dyDescent="0.3">
      <c r="A5" s="111" t="s">
        <v>65</v>
      </c>
      <c r="B5" s="110" t="s">
        <v>66</v>
      </c>
      <c r="C5" s="162" t="s">
        <v>3</v>
      </c>
      <c r="D5" s="187" t="s">
        <v>99</v>
      </c>
      <c r="E5" s="163"/>
    </row>
    <row r="6" spans="1:7" x14ac:dyDescent="0.25">
      <c r="A6" s="155" t="s">
        <v>89</v>
      </c>
      <c r="B6" s="122">
        <v>80000</v>
      </c>
      <c r="C6" s="167">
        <f>+B11-B12</f>
        <v>2.3E-2</v>
      </c>
      <c r="D6" s="109">
        <f>+B6*(1+C6)</f>
        <v>81840</v>
      </c>
      <c r="E6" s="155" t="s">
        <v>93</v>
      </c>
    </row>
    <row r="7" spans="1:7" x14ac:dyDescent="0.25">
      <c r="A7" s="155" t="s">
        <v>90</v>
      </c>
      <c r="B7" s="122">
        <v>10000</v>
      </c>
      <c r="C7" s="165">
        <v>0</v>
      </c>
      <c r="D7" s="108">
        <f>+B7</f>
        <v>10000</v>
      </c>
      <c r="E7" s="155" t="s">
        <v>90</v>
      </c>
    </row>
    <row r="8" spans="1:7" x14ac:dyDescent="0.25">
      <c r="A8" s="154" t="s">
        <v>91</v>
      </c>
      <c r="B8" s="123">
        <v>100000</v>
      </c>
      <c r="C8" s="164">
        <f>+C6</f>
        <v>2.3E-2</v>
      </c>
      <c r="D8" s="108">
        <f>+B8*(1+C8)</f>
        <v>102299.99999999999</v>
      </c>
      <c r="E8" s="154" t="s">
        <v>88</v>
      </c>
    </row>
    <row r="9" spans="1:7" x14ac:dyDescent="0.25">
      <c r="A9" s="154" t="s">
        <v>76</v>
      </c>
      <c r="B9" s="123">
        <v>10000</v>
      </c>
      <c r="C9" s="189"/>
      <c r="D9" s="166">
        <f>SUM(D6:D8)</f>
        <v>194140</v>
      </c>
      <c r="E9" s="107" t="s">
        <v>92</v>
      </c>
    </row>
    <row r="10" spans="1:7" x14ac:dyDescent="0.25">
      <c r="A10" s="188" t="s">
        <v>77</v>
      </c>
      <c r="B10" s="123">
        <v>200000</v>
      </c>
      <c r="D10" s="161"/>
      <c r="E10" s="160"/>
      <c r="F10" s="3"/>
    </row>
    <row r="11" spans="1:7" x14ac:dyDescent="0.25">
      <c r="A11" s="155" t="s">
        <v>86</v>
      </c>
      <c r="B11" s="156">
        <v>2.5000000000000001E-2</v>
      </c>
      <c r="D11" s="158"/>
      <c r="E11" s="160"/>
      <c r="F11" s="3"/>
    </row>
    <row r="12" spans="1:7" x14ac:dyDescent="0.25">
      <c r="A12" s="154" t="s">
        <v>87</v>
      </c>
      <c r="B12" s="157">
        <v>2E-3</v>
      </c>
      <c r="D12" s="158"/>
      <c r="E12" s="159"/>
      <c r="F12" s="3"/>
    </row>
    <row r="13" spans="1:7" ht="16.5" thickBot="1" x14ac:dyDescent="0.3">
      <c r="A13" s="6"/>
      <c r="B13" s="106"/>
      <c r="D13" s="106"/>
      <c r="E13" s="106"/>
    </row>
    <row r="14" spans="1:7" ht="21.75" thickBot="1" x14ac:dyDescent="0.4">
      <c r="A14" s="205" t="s">
        <v>75</v>
      </c>
      <c r="B14" s="206"/>
      <c r="C14" s="206"/>
      <c r="D14" s="206"/>
      <c r="E14" s="206"/>
      <c r="F14" s="206"/>
      <c r="G14" s="207"/>
    </row>
    <row r="15" spans="1:7" ht="19.5" thickBot="1" x14ac:dyDescent="0.35">
      <c r="A15" s="201" t="s">
        <v>5</v>
      </c>
      <c r="B15" s="203" t="s">
        <v>69</v>
      </c>
      <c r="C15" s="203"/>
      <c r="D15" s="203" t="s">
        <v>72</v>
      </c>
      <c r="E15" s="204"/>
      <c r="F15" s="204"/>
      <c r="G15" s="204"/>
    </row>
    <row r="16" spans="1:7" ht="16.5" thickBot="1" x14ac:dyDescent="0.3">
      <c r="A16" s="202"/>
      <c r="B16" s="112" t="s">
        <v>67</v>
      </c>
      <c r="C16" s="113" t="s">
        <v>3</v>
      </c>
      <c r="D16" s="116" t="s">
        <v>0</v>
      </c>
      <c r="E16" s="116" t="s">
        <v>70</v>
      </c>
      <c r="F16" s="116" t="s">
        <v>68</v>
      </c>
      <c r="G16" s="116" t="s">
        <v>71</v>
      </c>
    </row>
    <row r="17" spans="1:9" x14ac:dyDescent="0.25">
      <c r="A17" s="98" t="s">
        <v>2</v>
      </c>
      <c r="B17" s="172">
        <f>+B19-B18</f>
        <v>105177.75</v>
      </c>
      <c r="C17" s="109">
        <f>+B17/B19*100</f>
        <v>52.588875000000002</v>
      </c>
      <c r="D17" s="132">
        <f>+(D6+D7)*C17/100</f>
        <v>48297.622800000005</v>
      </c>
      <c r="E17" s="119">
        <f>+D8*C17/100</f>
        <v>53798.419124999993</v>
      </c>
      <c r="F17" s="119">
        <f>+B9</f>
        <v>10000</v>
      </c>
      <c r="G17" s="120">
        <f>+E17-F17</f>
        <v>43798.419124999993</v>
      </c>
    </row>
    <row r="18" spans="1:9" ht="16.5" thickBot="1" x14ac:dyDescent="0.3">
      <c r="A18" s="99" t="s">
        <v>4</v>
      </c>
      <c r="B18" s="173">
        <f>+TVnd!C5</f>
        <v>94822.25</v>
      </c>
      <c r="C18" s="108">
        <f>+B18/B19*100</f>
        <v>47.411124999999998</v>
      </c>
      <c r="D18" s="133">
        <f>+(D6+D7)*C18/100</f>
        <v>43542.377199999995</v>
      </c>
      <c r="E18" s="117">
        <f>+D8*C18/100</f>
        <v>48501.580874999992</v>
      </c>
      <c r="F18" s="117">
        <f>-F17</f>
        <v>-10000</v>
      </c>
      <c r="G18" s="121">
        <f>+E18-F18</f>
        <v>58501.580874999992</v>
      </c>
    </row>
    <row r="19" spans="1:9" ht="16.5" thickBot="1" x14ac:dyDescent="0.3">
      <c r="A19" s="114" t="s">
        <v>16</v>
      </c>
      <c r="B19" s="174">
        <f>+B10</f>
        <v>200000</v>
      </c>
      <c r="C19" s="115">
        <f>SUM(C17:C18)</f>
        <v>100</v>
      </c>
      <c r="D19" s="118">
        <f>SUM(D17:D18)</f>
        <v>91840</v>
      </c>
      <c r="E19" s="118">
        <f>SUM(E17:E18)</f>
        <v>102299.99999999999</v>
      </c>
      <c r="F19" s="118">
        <f t="shared" ref="F19:G19" si="0">SUM(F17:F18)</f>
        <v>0</v>
      </c>
      <c r="G19" s="118">
        <f t="shared" si="0"/>
        <v>102299.99999999999</v>
      </c>
    </row>
    <row r="21" spans="1:9" x14ac:dyDescent="0.25">
      <c r="B21" s="3"/>
      <c r="C21" s="3"/>
      <c r="D21" s="97"/>
      <c r="E21" s="3"/>
      <c r="F21" s="3"/>
      <c r="G21" s="3"/>
      <c r="H21" s="3"/>
      <c r="I21" s="97"/>
    </row>
    <row r="22" spans="1:9" ht="16.5" thickBot="1" x14ac:dyDescent="0.3"/>
    <row r="23" spans="1:9" ht="21.75" thickBot="1" x14ac:dyDescent="0.4">
      <c r="A23" s="205" t="s">
        <v>62</v>
      </c>
      <c r="B23" s="206"/>
      <c r="C23" s="206"/>
      <c r="D23" s="208"/>
      <c r="E23" s="208"/>
      <c r="F23" s="208"/>
      <c r="G23" s="209"/>
    </row>
    <row r="24" spans="1:9" ht="16.5" thickBot="1" x14ac:dyDescent="0.3"/>
    <row r="25" spans="1:9" ht="19.5" thickBot="1" x14ac:dyDescent="0.35">
      <c r="A25" s="90"/>
      <c r="B25" s="4" t="s">
        <v>29</v>
      </c>
      <c r="C25" s="4" t="s">
        <v>29</v>
      </c>
      <c r="D25" s="4" t="s">
        <v>29</v>
      </c>
      <c r="F25" s="194" t="s">
        <v>30</v>
      </c>
      <c r="G25" s="195"/>
    </row>
    <row r="26" spans="1:9" ht="16.5" thickBot="1" x14ac:dyDescent="0.3">
      <c r="A26" s="100" t="s">
        <v>8</v>
      </c>
      <c r="B26" s="101" t="s">
        <v>74</v>
      </c>
      <c r="C26" s="102" t="s">
        <v>24</v>
      </c>
      <c r="D26" s="102" t="s">
        <v>22</v>
      </c>
      <c r="F26" s="144" t="s">
        <v>84</v>
      </c>
      <c r="G26" s="113" t="s">
        <v>83</v>
      </c>
    </row>
    <row r="27" spans="1:9" x14ac:dyDescent="0.25">
      <c r="A27" s="20">
        <v>1</v>
      </c>
      <c r="B27" s="124">
        <v>8000</v>
      </c>
      <c r="C27" s="126">
        <v>100</v>
      </c>
      <c r="D27" s="150">
        <v>0.5</v>
      </c>
      <c r="F27" s="145">
        <f>+Ud!F7</f>
        <v>0.79857180555555574</v>
      </c>
      <c r="G27" s="109">
        <f>+Ud!H25</f>
        <v>42.342882537764339</v>
      </c>
    </row>
    <row r="28" spans="1:9" x14ac:dyDescent="0.25">
      <c r="A28" s="28">
        <v>2</v>
      </c>
      <c r="B28" s="125">
        <v>11000</v>
      </c>
      <c r="C28" s="127">
        <v>110</v>
      </c>
      <c r="D28" s="151">
        <v>0.5</v>
      </c>
      <c r="F28" s="145">
        <f>+Ud!F8</f>
        <v>0.93699091851851868</v>
      </c>
      <c r="G28" s="109">
        <f>+Ud!H26</f>
        <v>84.685765075528678</v>
      </c>
    </row>
    <row r="29" spans="1:9" x14ac:dyDescent="0.25">
      <c r="A29" s="28">
        <v>3</v>
      </c>
      <c r="B29" s="125">
        <v>10000</v>
      </c>
      <c r="C29" s="127">
        <v>90</v>
      </c>
      <c r="D29" s="151">
        <v>0.5</v>
      </c>
      <c r="F29" s="145">
        <f>+Ud!F9</f>
        <v>1.0647624074074076</v>
      </c>
      <c r="G29" s="109">
        <f>+Ud!H27</f>
        <v>108.50363650302111</v>
      </c>
    </row>
    <row r="30" spans="1:9" x14ac:dyDescent="0.25">
      <c r="A30" s="28">
        <v>4</v>
      </c>
      <c r="B30" s="125">
        <v>9000</v>
      </c>
      <c r="C30" s="127">
        <v>70</v>
      </c>
      <c r="D30" s="151">
        <v>0.5</v>
      </c>
      <c r="F30" s="145">
        <f>+Ud!F10</f>
        <v>1.1499434000000002</v>
      </c>
      <c r="G30" s="109">
        <f>+Ud!H28</f>
        <v>137.61436824773412</v>
      </c>
    </row>
    <row r="31" spans="1:9" x14ac:dyDescent="0.25">
      <c r="A31" s="28">
        <v>5</v>
      </c>
      <c r="B31" s="125">
        <v>6000</v>
      </c>
      <c r="C31" s="127">
        <v>40</v>
      </c>
      <c r="D31" s="151">
        <v>0.5</v>
      </c>
      <c r="F31" s="145">
        <f>+Ud!F11</f>
        <v>1.1818862722222225</v>
      </c>
      <c r="G31" s="109">
        <f>+Ud!H29</f>
        <v>172.01796030966764</v>
      </c>
    </row>
    <row r="32" spans="1:9" x14ac:dyDescent="0.25">
      <c r="A32" s="28" t="s">
        <v>15</v>
      </c>
      <c r="B32" s="125">
        <v>3000</v>
      </c>
      <c r="C32" s="127">
        <v>20</v>
      </c>
      <c r="D32" s="151">
        <v>0.5</v>
      </c>
      <c r="F32" s="145">
        <f>+Ud!F12</f>
        <v>1.1712386481481485</v>
      </c>
      <c r="G32" s="109">
        <f>+Ud!H30</f>
        <v>198.48226189577034</v>
      </c>
    </row>
    <row r="33" spans="1:11" x14ac:dyDescent="0.25">
      <c r="A33" s="135" t="s">
        <v>16</v>
      </c>
      <c r="B33" s="2">
        <f>SUM(B27:B32)</f>
        <v>47000</v>
      </c>
      <c r="C33" s="2">
        <f>SUM(C27:C32)</f>
        <v>430</v>
      </c>
    </row>
    <row r="34" spans="1:11" ht="16.5" thickBot="1" x14ac:dyDescent="0.3"/>
    <row r="35" spans="1:11" ht="21.75" thickBot="1" x14ac:dyDescent="0.4">
      <c r="A35" s="205" t="s">
        <v>63</v>
      </c>
      <c r="B35" s="216"/>
      <c r="C35" s="216"/>
      <c r="D35" s="216"/>
      <c r="E35" s="216"/>
      <c r="F35" s="216"/>
      <c r="G35" s="216"/>
      <c r="H35" s="208"/>
      <c r="I35" s="208"/>
      <c r="J35" s="208"/>
      <c r="K35" s="209"/>
    </row>
    <row r="36" spans="1:11" ht="19.5" thickBot="1" x14ac:dyDescent="0.35">
      <c r="A36" s="90"/>
    </row>
    <row r="37" spans="1:11" ht="19.5" thickBot="1" x14ac:dyDescent="0.35">
      <c r="A37" s="143" t="s">
        <v>79</v>
      </c>
      <c r="D37" s="141">
        <v>1</v>
      </c>
      <c r="G37" s="13" t="s">
        <v>29</v>
      </c>
      <c r="H37" s="13" t="s">
        <v>29</v>
      </c>
      <c r="J37" s="194" t="s">
        <v>80</v>
      </c>
      <c r="K37" s="195"/>
    </row>
    <row r="38" spans="1:11" ht="16.5" thickBot="1" x14ac:dyDescent="0.3">
      <c r="A38" s="91" t="s">
        <v>64</v>
      </c>
      <c r="B38" s="196" t="str">
        <f>+TFnd!B9</f>
        <v>Attività</v>
      </c>
      <c r="C38" s="197"/>
      <c r="D38" s="197"/>
      <c r="E38" s="197"/>
      <c r="F38" s="198"/>
      <c r="G38" s="128" t="s">
        <v>33</v>
      </c>
      <c r="H38" s="128" t="s">
        <v>22</v>
      </c>
      <c r="J38" s="144" t="s">
        <v>84</v>
      </c>
      <c r="K38" s="113" t="s">
        <v>85</v>
      </c>
    </row>
    <row r="39" spans="1:11" ht="15.75" customHeight="1" thickBot="1" x14ac:dyDescent="0.3">
      <c r="A39" s="93">
        <v>1</v>
      </c>
      <c r="B39" s="213" t="s">
        <v>36</v>
      </c>
      <c r="C39" s="214"/>
      <c r="D39" s="214"/>
      <c r="E39" s="214"/>
      <c r="F39" s="215"/>
      <c r="G39" s="129">
        <v>200</v>
      </c>
      <c r="H39" s="149">
        <v>0.5</v>
      </c>
      <c r="J39" s="145">
        <f>+TFnd!I10</f>
        <v>1.635565086811352</v>
      </c>
      <c r="K39" s="145">
        <f>+TVnd!I10</f>
        <v>2.1871249016119632</v>
      </c>
    </row>
    <row r="40" spans="1:11" ht="15.75" customHeight="1" thickBot="1" x14ac:dyDescent="0.3">
      <c r="A40" s="92">
        <v>2</v>
      </c>
      <c r="B40" s="190" t="s">
        <v>49</v>
      </c>
      <c r="C40" s="191"/>
      <c r="D40" s="191"/>
      <c r="E40" s="191"/>
      <c r="F40" s="192"/>
      <c r="G40" s="130">
        <v>500</v>
      </c>
      <c r="H40" s="149">
        <v>0.5</v>
      </c>
      <c r="J40" s="145">
        <f>+TFnd!I11</f>
        <v>2.382675064737525</v>
      </c>
      <c r="K40" s="145">
        <f>+TVnd!I11</f>
        <v>3.1866008792174303</v>
      </c>
    </row>
    <row r="41" spans="1:11" ht="15.75" customHeight="1" thickBot="1" x14ac:dyDescent="0.3">
      <c r="A41" s="93">
        <v>3</v>
      </c>
      <c r="B41" s="190" t="s">
        <v>37</v>
      </c>
      <c r="C41" s="191"/>
      <c r="D41" s="191"/>
      <c r="E41" s="191"/>
      <c r="F41" s="192"/>
      <c r="G41" s="130">
        <v>200</v>
      </c>
      <c r="H41" s="149">
        <v>0.5</v>
      </c>
      <c r="J41" s="145">
        <f>+TFnd!I12</f>
        <v>2.847094780745687</v>
      </c>
      <c r="K41" s="145">
        <f>+TVnd!I12</f>
        <v>3.8374941856209901</v>
      </c>
    </row>
    <row r="42" spans="1:11" ht="15.75" customHeight="1" thickBot="1" x14ac:dyDescent="0.3">
      <c r="A42" s="92">
        <v>4</v>
      </c>
      <c r="B42" s="190" t="s">
        <v>38</v>
      </c>
      <c r="C42" s="191"/>
      <c r="D42" s="191"/>
      <c r="E42" s="191"/>
      <c r="F42" s="192"/>
      <c r="G42" s="130">
        <v>200</v>
      </c>
      <c r="H42" s="149">
        <v>0.5</v>
      </c>
      <c r="J42" s="145">
        <f>+TFnd!I13</f>
        <v>1.7365258946392135</v>
      </c>
      <c r="K42" s="145">
        <f>+TVnd!I13</f>
        <v>2.3197714048126885</v>
      </c>
    </row>
    <row r="43" spans="1:11" ht="15.75" customHeight="1" thickBot="1" x14ac:dyDescent="0.3">
      <c r="A43" s="93">
        <v>5</v>
      </c>
      <c r="B43" s="190" t="s">
        <v>39</v>
      </c>
      <c r="C43" s="191"/>
      <c r="D43" s="191"/>
      <c r="E43" s="191"/>
      <c r="F43" s="192"/>
      <c r="G43" s="130">
        <v>200</v>
      </c>
      <c r="H43" s="149">
        <v>0.5</v>
      </c>
      <c r="J43" s="145">
        <f>+TFnd!I14</f>
        <v>5.1691933607864948</v>
      </c>
      <c r="K43" s="145">
        <f>+TVnd!I14</f>
        <v>6.9562294120380495</v>
      </c>
    </row>
    <row r="44" spans="1:11" ht="15.75" customHeight="1" thickBot="1" x14ac:dyDescent="0.3">
      <c r="A44" s="92">
        <v>6</v>
      </c>
      <c r="B44" s="190" t="s">
        <v>40</v>
      </c>
      <c r="C44" s="191"/>
      <c r="D44" s="191"/>
      <c r="E44" s="191"/>
      <c r="F44" s="192"/>
      <c r="G44" s="130">
        <v>200</v>
      </c>
      <c r="H44" s="149">
        <v>0.5</v>
      </c>
      <c r="J44" s="145">
        <f>+TFnd!I15</f>
        <v>3.715357728065293</v>
      </c>
      <c r="K44" s="145">
        <f>+TVnd!I15</f>
        <v>5.0004646904273518</v>
      </c>
    </row>
    <row r="45" spans="1:11" ht="15.75" customHeight="1" thickBot="1" x14ac:dyDescent="0.3">
      <c r="A45" s="93">
        <v>7</v>
      </c>
      <c r="B45" s="190" t="s">
        <v>41</v>
      </c>
      <c r="C45" s="191"/>
      <c r="D45" s="191"/>
      <c r="E45" s="191"/>
      <c r="F45" s="192"/>
      <c r="G45" s="130">
        <v>200</v>
      </c>
      <c r="H45" s="149">
        <v>0.5</v>
      </c>
      <c r="J45" s="145">
        <f>+TFnd!I16</f>
        <v>4.2201617672045995</v>
      </c>
      <c r="K45" s="145">
        <f>+TVnd!I16</f>
        <v>5.6575276016309459</v>
      </c>
    </row>
    <row r="46" spans="1:11" ht="15.75" customHeight="1" thickBot="1" x14ac:dyDescent="0.3">
      <c r="A46" s="92">
        <v>8</v>
      </c>
      <c r="B46" s="190" t="s">
        <v>42</v>
      </c>
      <c r="C46" s="191"/>
      <c r="D46" s="191"/>
      <c r="E46" s="191"/>
      <c r="F46" s="192"/>
      <c r="G46" s="130">
        <v>400</v>
      </c>
      <c r="H46" s="149">
        <v>0.5</v>
      </c>
      <c r="J46" s="145">
        <f>+TFnd!I17</f>
        <v>3.9374715052865885</v>
      </c>
      <c r="K46" s="145">
        <f>+TVnd!I17</f>
        <v>5.2904361160289373</v>
      </c>
    </row>
    <row r="47" spans="1:11" ht="15.75" customHeight="1" thickBot="1" x14ac:dyDescent="0.3">
      <c r="A47" s="93">
        <v>9</v>
      </c>
      <c r="B47" s="190" t="s">
        <v>95</v>
      </c>
      <c r="C47" s="191"/>
      <c r="D47" s="191"/>
      <c r="E47" s="191"/>
      <c r="F47" s="192"/>
      <c r="G47" s="130">
        <v>250</v>
      </c>
      <c r="H47" s="149">
        <v>0.5</v>
      </c>
      <c r="J47" s="145">
        <f>+TFnd!I18</f>
        <v>2.1605612875162303</v>
      </c>
      <c r="K47" s="145">
        <f>+TVnd!I18</f>
        <v>2.9027990584158778</v>
      </c>
    </row>
    <row r="48" spans="1:11" ht="15.75" customHeight="1" thickBot="1" x14ac:dyDescent="0.3">
      <c r="A48" s="92">
        <v>10</v>
      </c>
      <c r="B48" s="190" t="s">
        <v>43</v>
      </c>
      <c r="C48" s="191"/>
      <c r="D48" s="191"/>
      <c r="E48" s="191"/>
      <c r="F48" s="192"/>
      <c r="G48" s="130">
        <v>300</v>
      </c>
      <c r="H48" s="149">
        <v>0.5</v>
      </c>
      <c r="J48" s="145">
        <f>+TFnd!I19</f>
        <v>4.2403539287701708</v>
      </c>
      <c r="K48" s="145">
        <f>+TVnd!I19</f>
        <v>5.6914604280311325</v>
      </c>
    </row>
    <row r="49" spans="1:11" ht="15.75" customHeight="1" thickBot="1" x14ac:dyDescent="0.3">
      <c r="A49" s="93"/>
      <c r="B49" s="210" t="s">
        <v>73</v>
      </c>
      <c r="C49" s="191"/>
      <c r="D49" s="191"/>
      <c r="E49" s="191"/>
      <c r="F49" s="192"/>
      <c r="G49" s="130">
        <v>300</v>
      </c>
      <c r="H49" s="149">
        <v>0.5</v>
      </c>
      <c r="J49" s="182">
        <f>+TFnd!I20/365</f>
        <v>2.3234816048055731E-2</v>
      </c>
      <c r="K49" s="182">
        <f>+TVnd!I20/365</f>
        <v>3.1186084537156891E-2</v>
      </c>
    </row>
    <row r="50" spans="1:11" ht="15.75" customHeight="1" x14ac:dyDescent="0.25">
      <c r="A50" s="92">
        <v>11</v>
      </c>
      <c r="B50" s="190" t="s">
        <v>96</v>
      </c>
      <c r="C50" s="191"/>
      <c r="D50" s="191"/>
      <c r="E50" s="191"/>
      <c r="F50" s="192"/>
      <c r="G50" s="130">
        <v>100</v>
      </c>
      <c r="H50" s="149">
        <v>0.5</v>
      </c>
      <c r="J50" s="145">
        <f>+TFnd!I21</f>
        <v>5.1288090376553503</v>
      </c>
      <c r="K50" s="145">
        <f>+TVnd!I21</f>
        <v>6.8852789568376611</v>
      </c>
    </row>
    <row r="51" spans="1:11" ht="15.75" customHeight="1" x14ac:dyDescent="0.25">
      <c r="A51" s="92">
        <v>12</v>
      </c>
      <c r="B51" s="193" t="s">
        <v>97</v>
      </c>
      <c r="C51" s="191"/>
      <c r="D51" s="191"/>
      <c r="E51" s="191"/>
      <c r="F51" s="192"/>
      <c r="G51" s="130">
        <v>300</v>
      </c>
      <c r="H51" s="149">
        <v>0.5</v>
      </c>
      <c r="J51" s="145">
        <f>+TFnd!I22</f>
        <v>3.7153577280652934</v>
      </c>
      <c r="K51" s="145">
        <f>+TVnd!I22</f>
        <v>4.9942950856273169</v>
      </c>
    </row>
    <row r="52" spans="1:11" ht="15.75" customHeight="1" x14ac:dyDescent="0.25">
      <c r="A52" s="92">
        <v>13</v>
      </c>
      <c r="B52" s="193" t="s">
        <v>44</v>
      </c>
      <c r="C52" s="191"/>
      <c r="D52" s="191"/>
      <c r="E52" s="191"/>
      <c r="F52" s="192"/>
      <c r="G52" s="130">
        <v>300</v>
      </c>
      <c r="H52" s="149">
        <v>0.5</v>
      </c>
      <c r="J52" s="145">
        <f>+TFnd!I23</f>
        <v>4.76535012947505</v>
      </c>
      <c r="K52" s="145">
        <f>+TVnd!I23</f>
        <v>6.3947953752349784</v>
      </c>
    </row>
    <row r="53" spans="1:11" ht="15.75" customHeight="1" x14ac:dyDescent="0.25">
      <c r="A53" s="92">
        <v>14</v>
      </c>
      <c r="B53" s="193" t="s">
        <v>45</v>
      </c>
      <c r="C53" s="191"/>
      <c r="D53" s="191"/>
      <c r="E53" s="191"/>
      <c r="F53" s="192"/>
      <c r="G53" s="130">
        <v>600</v>
      </c>
      <c r="H53" s="149">
        <v>0.5</v>
      </c>
      <c r="J53" s="145">
        <f>+TFnd!I24</f>
        <v>2.5644045188276752</v>
      </c>
      <c r="K53" s="145">
        <f>+TVnd!I24</f>
        <v>3.439554676018814</v>
      </c>
    </row>
    <row r="54" spans="1:11" ht="15.75" customHeight="1" x14ac:dyDescent="0.25">
      <c r="A54" s="92">
        <v>15</v>
      </c>
      <c r="B54" s="193" t="s">
        <v>46</v>
      </c>
      <c r="C54" s="191"/>
      <c r="D54" s="191"/>
      <c r="E54" s="191"/>
      <c r="F54" s="192"/>
      <c r="G54" s="130">
        <v>300</v>
      </c>
      <c r="H54" s="149">
        <v>0.5</v>
      </c>
      <c r="J54" s="145">
        <f>+TFnd!I25</f>
        <v>3.2711301736227041</v>
      </c>
      <c r="K54" s="145">
        <f>+TVnd!I25</f>
        <v>4.3958434200240442</v>
      </c>
    </row>
    <row r="55" spans="1:11" ht="15.75" customHeight="1" x14ac:dyDescent="0.25">
      <c r="A55" s="92">
        <v>16</v>
      </c>
      <c r="B55" s="193" t="s">
        <v>50</v>
      </c>
      <c r="C55" s="191"/>
      <c r="D55" s="191"/>
      <c r="E55" s="191"/>
      <c r="F55" s="192"/>
      <c r="G55" s="130">
        <v>200</v>
      </c>
      <c r="H55" s="149">
        <v>0.5</v>
      </c>
      <c r="J55" s="145">
        <f>+TFnd!I26</f>
        <v>27.70364566796512</v>
      </c>
      <c r="K55" s="145">
        <f>+TVnd!I26</f>
        <v>37.242819375403705</v>
      </c>
    </row>
    <row r="56" spans="1:11" ht="15.75" customHeight="1" x14ac:dyDescent="0.25">
      <c r="A56" s="92"/>
      <c r="B56" s="210" t="s">
        <v>73</v>
      </c>
      <c r="C56" s="191"/>
      <c r="D56" s="191"/>
      <c r="E56" s="191"/>
      <c r="F56" s="192"/>
      <c r="G56" s="130">
        <v>200</v>
      </c>
      <c r="H56" s="149">
        <v>0.5</v>
      </c>
      <c r="J56" s="182">
        <f>+TFnd!I27/365</f>
        <v>0.1518007981806308</v>
      </c>
      <c r="K56" s="182">
        <f>+TVnd!I27/365</f>
        <v>0.20407024315289701</v>
      </c>
    </row>
    <row r="57" spans="1:11" ht="15.75" customHeight="1" x14ac:dyDescent="0.25">
      <c r="A57" s="92">
        <v>17</v>
      </c>
      <c r="B57" s="193" t="s">
        <v>47</v>
      </c>
      <c r="C57" s="191"/>
      <c r="D57" s="191"/>
      <c r="E57" s="191"/>
      <c r="F57" s="192"/>
      <c r="G57" s="130">
        <v>100</v>
      </c>
      <c r="H57" s="149">
        <v>0.5</v>
      </c>
      <c r="J57" s="145">
        <f>+TFnd!I28</f>
        <v>21.605612875162301</v>
      </c>
      <c r="K57" s="145">
        <f>+TVnd!I28</f>
        <v>29.031075386558793</v>
      </c>
    </row>
    <row r="58" spans="1:11" ht="15.75" customHeight="1" x14ac:dyDescent="0.25">
      <c r="A58" s="92">
        <v>18</v>
      </c>
      <c r="B58" s="193" t="s">
        <v>48</v>
      </c>
      <c r="C58" s="191"/>
      <c r="D58" s="191"/>
      <c r="E58" s="191"/>
      <c r="F58" s="192"/>
      <c r="G58" s="130">
        <v>150</v>
      </c>
      <c r="H58" s="149">
        <v>0.5</v>
      </c>
      <c r="J58" s="145">
        <f>+TFnd!I29</f>
        <v>6.8047584475978473</v>
      </c>
      <c r="K58" s="145">
        <f>+TVnd!I29</f>
        <v>9.1556935232500791</v>
      </c>
    </row>
    <row r="59" spans="1:11" ht="15.75" customHeight="1" x14ac:dyDescent="0.25">
      <c r="A59" s="92">
        <v>19</v>
      </c>
      <c r="B59" s="193" t="s">
        <v>51</v>
      </c>
      <c r="C59" s="191"/>
      <c r="D59" s="191"/>
      <c r="E59" s="191"/>
      <c r="F59" s="192"/>
      <c r="G59" s="130">
        <v>200</v>
      </c>
      <c r="H59" s="149">
        <v>0.5</v>
      </c>
      <c r="J59" s="145">
        <f>+TFnd!I30</f>
        <v>10.419155367835279</v>
      </c>
      <c r="K59" s="145">
        <f>+TVnd!I30</f>
        <v>13.98957888407652</v>
      </c>
    </row>
    <row r="60" spans="1:11" ht="15.75" customHeight="1" x14ac:dyDescent="0.25">
      <c r="A60" s="92">
        <v>20</v>
      </c>
      <c r="B60" s="193" t="s">
        <v>98</v>
      </c>
      <c r="C60" s="191"/>
      <c r="D60" s="191"/>
      <c r="E60" s="191"/>
      <c r="F60" s="192"/>
      <c r="G60" s="130">
        <v>100</v>
      </c>
      <c r="H60" s="149">
        <v>0.5</v>
      </c>
      <c r="J60" s="145">
        <f>+TFnd!I31</f>
        <v>22.655605276572061</v>
      </c>
      <c r="K60" s="145">
        <f>+TVnd!I31</f>
        <v>30.462423700166624</v>
      </c>
    </row>
    <row r="61" spans="1:11" ht="15.75" customHeight="1" x14ac:dyDescent="0.25">
      <c r="A61" s="131"/>
      <c r="B61" s="210" t="s">
        <v>73</v>
      </c>
      <c r="C61" s="191"/>
      <c r="D61" s="191"/>
      <c r="E61" s="191"/>
      <c r="F61" s="192"/>
      <c r="G61" s="130">
        <v>50</v>
      </c>
      <c r="H61" s="149">
        <v>0.5</v>
      </c>
      <c r="J61" s="182">
        <f>+TFnd!I32/365</f>
        <v>0.12414030288532636</v>
      </c>
      <c r="K61" s="182">
        <f>+TVnd!I32/365</f>
        <v>0.1669173901378993</v>
      </c>
    </row>
    <row r="62" spans="1:11" ht="15.75" customHeight="1" x14ac:dyDescent="0.25">
      <c r="A62" s="4">
        <v>21</v>
      </c>
      <c r="B62" s="211" t="s">
        <v>52</v>
      </c>
      <c r="C62" s="212"/>
      <c r="D62" s="212"/>
      <c r="E62" s="212"/>
      <c r="F62" s="212"/>
      <c r="G62" s="130">
        <v>100</v>
      </c>
      <c r="H62" s="149">
        <v>0.5</v>
      </c>
      <c r="J62" s="145">
        <f>+TFnd!I33</f>
        <v>5.5932287536635119</v>
      </c>
      <c r="K62" s="145">
        <f>+TVnd!I33</f>
        <v>7.5207482512411366</v>
      </c>
    </row>
    <row r="63" spans="1:11" x14ac:dyDescent="0.25">
      <c r="G63" s="3">
        <f>SUM(G39:G62)</f>
        <v>5650</v>
      </c>
    </row>
  </sheetData>
  <mergeCells count="34">
    <mergeCell ref="B49:F49"/>
    <mergeCell ref="B39:F39"/>
    <mergeCell ref="B40:F40"/>
    <mergeCell ref="F25:G25"/>
    <mergeCell ref="A35:K35"/>
    <mergeCell ref="B44:F44"/>
    <mergeCell ref="B45:F45"/>
    <mergeCell ref="B46:F46"/>
    <mergeCell ref="B47:F47"/>
    <mergeCell ref="B48:F48"/>
    <mergeCell ref="B61:F61"/>
    <mergeCell ref="B62:F62"/>
    <mergeCell ref="B55:F55"/>
    <mergeCell ref="B56:F56"/>
    <mergeCell ref="B57:F57"/>
    <mergeCell ref="B58:F58"/>
    <mergeCell ref="B59:F59"/>
    <mergeCell ref="B60:F60"/>
    <mergeCell ref="B50:F50"/>
    <mergeCell ref="B54:F54"/>
    <mergeCell ref="J37:K37"/>
    <mergeCell ref="B38:F38"/>
    <mergeCell ref="A3:D3"/>
    <mergeCell ref="A15:A16"/>
    <mergeCell ref="B15:C15"/>
    <mergeCell ref="D15:G15"/>
    <mergeCell ref="A14:G14"/>
    <mergeCell ref="A23:G23"/>
    <mergeCell ref="B51:F51"/>
    <mergeCell ref="B52:F52"/>
    <mergeCell ref="B53:F53"/>
    <mergeCell ref="B41:F41"/>
    <mergeCell ref="B42:F42"/>
    <mergeCell ref="B43:F43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:D2"/>
    </sheetView>
  </sheetViews>
  <sheetFormatPr defaultRowHeight="15" x14ac:dyDescent="0.25"/>
  <cols>
    <col min="2" max="2" width="12.7109375" customWidth="1"/>
    <col min="3" max="3" width="13.28515625" customWidth="1"/>
    <col min="4" max="4" width="10.28515625" customWidth="1"/>
    <col min="7" max="7" width="10.140625" customWidth="1"/>
    <col min="8" max="8" width="15.5703125" customWidth="1"/>
    <col min="9" max="9" width="16.42578125" customWidth="1"/>
    <col min="10" max="10" width="13.140625" customWidth="1"/>
    <col min="11" max="11" width="16.42578125" customWidth="1"/>
  </cols>
  <sheetData>
    <row r="1" spans="1:11" ht="26.25" x14ac:dyDescent="0.4">
      <c r="A1" s="7" t="s">
        <v>54</v>
      </c>
      <c r="B1" s="8"/>
      <c r="C1" s="8"/>
      <c r="D1" s="8"/>
      <c r="E1" s="8"/>
      <c r="F1" s="8"/>
      <c r="G1" s="8"/>
      <c r="H1" s="8"/>
    </row>
    <row r="2" spans="1:11" ht="21" x14ac:dyDescent="0.35">
      <c r="A2" s="199" t="s">
        <v>94</v>
      </c>
      <c r="B2" s="200"/>
      <c r="C2" s="200"/>
      <c r="D2" s="200"/>
      <c r="E2" s="10"/>
      <c r="F2" s="10"/>
      <c r="G2" s="10"/>
      <c r="H2" s="8"/>
    </row>
    <row r="3" spans="1:11" ht="15.75" x14ac:dyDescent="0.25">
      <c r="A3" s="11"/>
      <c r="B3" s="10"/>
      <c r="C3" s="10"/>
      <c r="D3" s="10"/>
      <c r="E3" s="10"/>
      <c r="F3" s="10"/>
      <c r="G3" s="10"/>
      <c r="H3" s="8"/>
    </row>
    <row r="4" spans="1:11" ht="15.75" x14ac:dyDescent="0.25">
      <c r="A4" s="11" t="s">
        <v>6</v>
      </c>
      <c r="B4" s="12">
        <f>+Dati!D17</f>
        <v>48297.622800000005</v>
      </c>
      <c r="C4" s="10"/>
      <c r="D4" s="10"/>
      <c r="E4" s="10"/>
      <c r="F4" s="10"/>
      <c r="G4" s="10"/>
      <c r="H4" s="8"/>
    </row>
    <row r="5" spans="1:11" ht="16.5" thickBot="1" x14ac:dyDescent="0.3">
      <c r="A5" s="11"/>
      <c r="B5" s="10"/>
      <c r="C5" s="10"/>
      <c r="D5" s="10"/>
      <c r="E5" s="10"/>
      <c r="F5" s="5" t="s">
        <v>7</v>
      </c>
      <c r="G5" s="10"/>
      <c r="H5" s="8"/>
    </row>
    <row r="6" spans="1:11" ht="16.5" thickBot="1" x14ac:dyDescent="0.3">
      <c r="A6" s="14" t="s">
        <v>8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13</v>
      </c>
      <c r="G6" s="18"/>
      <c r="H6" s="19" t="s">
        <v>14</v>
      </c>
    </row>
    <row r="7" spans="1:11" ht="15.75" x14ac:dyDescent="0.25">
      <c r="A7" s="20">
        <v>1</v>
      </c>
      <c r="B7" s="21">
        <v>0.75</v>
      </c>
      <c r="C7" s="104">
        <f>+Dati!B27</f>
        <v>8000</v>
      </c>
      <c r="D7" s="23">
        <f>+B7*C7</f>
        <v>6000</v>
      </c>
      <c r="E7" s="24">
        <f>+B$4/D$13</f>
        <v>1.0647624074074076</v>
      </c>
      <c r="F7" s="25">
        <f>+B7*E7</f>
        <v>0.79857180555555574</v>
      </c>
      <c r="G7" s="26"/>
      <c r="H7" s="27">
        <f>+C7*F7</f>
        <v>6388.5744444444463</v>
      </c>
    </row>
    <row r="8" spans="1:11" ht="15.75" x14ac:dyDescent="0.25">
      <c r="A8" s="28">
        <v>2</v>
      </c>
      <c r="B8" s="29">
        <v>0.88</v>
      </c>
      <c r="C8" s="104">
        <f>+Dati!B28</f>
        <v>11000</v>
      </c>
      <c r="D8" s="30">
        <f t="shared" ref="D8:D12" si="0">+B8*C8</f>
        <v>9680</v>
      </c>
      <c r="E8" s="31">
        <f t="shared" ref="E8:E12" si="1">+B$4/D$13</f>
        <v>1.0647624074074076</v>
      </c>
      <c r="F8" s="25">
        <f t="shared" ref="F8:F12" si="2">+B8*E8</f>
        <v>0.93699091851851868</v>
      </c>
      <c r="G8" s="26"/>
      <c r="H8" s="27">
        <f t="shared" ref="H8:H12" si="3">+C8*F8</f>
        <v>10306.900103703705</v>
      </c>
    </row>
    <row r="9" spans="1:11" ht="15.75" x14ac:dyDescent="0.25">
      <c r="A9" s="28">
        <v>3</v>
      </c>
      <c r="B9" s="29">
        <v>1</v>
      </c>
      <c r="C9" s="104">
        <f>+Dati!B29</f>
        <v>10000</v>
      </c>
      <c r="D9" s="30">
        <f t="shared" si="0"/>
        <v>10000</v>
      </c>
      <c r="E9" s="31">
        <f t="shared" si="1"/>
        <v>1.0647624074074076</v>
      </c>
      <c r="F9" s="25">
        <f t="shared" si="2"/>
        <v>1.0647624074074076</v>
      </c>
      <c r="G9" s="26"/>
      <c r="H9" s="27">
        <f t="shared" si="3"/>
        <v>10647.624074074076</v>
      </c>
    </row>
    <row r="10" spans="1:11" ht="15.75" x14ac:dyDescent="0.25">
      <c r="A10" s="28">
        <v>4</v>
      </c>
      <c r="B10" s="29">
        <v>1.08</v>
      </c>
      <c r="C10" s="104">
        <f>+Dati!B30</f>
        <v>9000</v>
      </c>
      <c r="D10" s="30">
        <f t="shared" si="0"/>
        <v>9720</v>
      </c>
      <c r="E10" s="31">
        <f t="shared" si="1"/>
        <v>1.0647624074074076</v>
      </c>
      <c r="F10" s="25">
        <f t="shared" si="2"/>
        <v>1.1499434000000002</v>
      </c>
      <c r="G10" s="26"/>
      <c r="H10" s="27">
        <f t="shared" si="3"/>
        <v>10349.490600000001</v>
      </c>
    </row>
    <row r="11" spans="1:11" ht="15.75" x14ac:dyDescent="0.25">
      <c r="A11" s="28">
        <v>5</v>
      </c>
      <c r="B11" s="29">
        <v>1.1100000000000001</v>
      </c>
      <c r="C11" s="104">
        <f>+Dati!B31</f>
        <v>6000</v>
      </c>
      <c r="D11" s="30">
        <f t="shared" si="0"/>
        <v>6660.0000000000009</v>
      </c>
      <c r="E11" s="31">
        <f t="shared" si="1"/>
        <v>1.0647624074074076</v>
      </c>
      <c r="F11" s="25">
        <f t="shared" si="2"/>
        <v>1.1818862722222225</v>
      </c>
      <c r="G11" s="26"/>
      <c r="H11" s="27">
        <f t="shared" si="3"/>
        <v>7091.3176333333349</v>
      </c>
    </row>
    <row r="12" spans="1:11" ht="15.75" x14ac:dyDescent="0.25">
      <c r="A12" s="28" t="s">
        <v>15</v>
      </c>
      <c r="B12" s="29">
        <v>1.1000000000000001</v>
      </c>
      <c r="C12" s="104">
        <f>+Dati!B32</f>
        <v>3000</v>
      </c>
      <c r="D12" s="30">
        <f t="shared" si="0"/>
        <v>3300.0000000000005</v>
      </c>
      <c r="E12" s="31">
        <f t="shared" si="1"/>
        <v>1.0647624074074076</v>
      </c>
      <c r="F12" s="25">
        <f t="shared" si="2"/>
        <v>1.1712386481481485</v>
      </c>
      <c r="G12" s="26"/>
      <c r="H12" s="27">
        <f t="shared" si="3"/>
        <v>3513.7159444444455</v>
      </c>
    </row>
    <row r="13" spans="1:11" x14ac:dyDescent="0.25">
      <c r="A13" s="8"/>
      <c r="B13" s="8"/>
      <c r="C13" s="32" t="s">
        <v>16</v>
      </c>
      <c r="D13" s="134">
        <f>SUM(D7:D12)</f>
        <v>45360</v>
      </c>
      <c r="E13" s="8"/>
      <c r="F13" s="8"/>
      <c r="G13" s="8"/>
      <c r="H13" s="34">
        <f>SUM(H7:H12)</f>
        <v>48297.622800000012</v>
      </c>
    </row>
    <row r="14" spans="1:11" x14ac:dyDescent="0.25">
      <c r="H14" s="88" t="str">
        <f>+IF(H13=B4,"Verificato","non verificato")</f>
        <v>Verificato</v>
      </c>
    </row>
    <row r="16" spans="1:11" ht="26.25" x14ac:dyDescent="0.4">
      <c r="A16" s="7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9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8"/>
    </row>
    <row r="19" spans="1:11" ht="15.75" x14ac:dyDescent="0.25">
      <c r="A19" s="9" t="s">
        <v>18</v>
      </c>
      <c r="C19" s="39">
        <f>+Dati!G17</f>
        <v>43798.419124999993</v>
      </c>
      <c r="D19" s="10"/>
      <c r="E19" s="10"/>
      <c r="F19" s="10"/>
      <c r="G19" s="10"/>
      <c r="H19" s="10"/>
      <c r="I19" s="10"/>
      <c r="J19" s="10"/>
      <c r="K19" s="8"/>
    </row>
    <row r="20" spans="1:11" ht="15.75" x14ac:dyDescent="0.25">
      <c r="A20" s="9" t="s">
        <v>17</v>
      </c>
      <c r="B20" s="11"/>
      <c r="C20" s="35">
        <f>+Dati!B17</f>
        <v>105177.75</v>
      </c>
      <c r="D20" s="10"/>
      <c r="E20" s="10"/>
      <c r="F20" s="10"/>
      <c r="G20" s="10"/>
      <c r="H20" s="10"/>
      <c r="I20" s="10"/>
      <c r="J20" s="10"/>
      <c r="K20" s="8"/>
    </row>
    <row r="21" spans="1:11" ht="15.75" x14ac:dyDescent="0.25">
      <c r="A21" s="9" t="s">
        <v>19</v>
      </c>
      <c r="B21" s="11"/>
      <c r="C21" s="103">
        <f>+C19/C20</f>
        <v>0.41642285678292218</v>
      </c>
      <c r="D21" s="10"/>
      <c r="E21" s="10"/>
      <c r="F21" s="10"/>
      <c r="G21" s="10"/>
      <c r="H21" s="10"/>
      <c r="I21" s="10"/>
      <c r="J21" s="10"/>
      <c r="K21" s="8"/>
    </row>
    <row r="22" spans="1:11" ht="15.75" x14ac:dyDescent="0.25">
      <c r="A22" s="9" t="s">
        <v>26</v>
      </c>
      <c r="B22" s="11"/>
      <c r="C22" s="136">
        <f>+C20/G31</f>
        <v>127.10302114803625</v>
      </c>
      <c r="D22" s="10"/>
      <c r="E22" s="10"/>
      <c r="F22" s="10"/>
      <c r="G22" s="10"/>
      <c r="H22" s="10"/>
      <c r="I22" s="10"/>
      <c r="J22" s="10"/>
      <c r="K22" s="8"/>
    </row>
    <row r="23" spans="1:11" ht="16.5" thickBot="1" x14ac:dyDescent="0.3">
      <c r="A23" s="11"/>
      <c r="B23" s="10"/>
      <c r="C23" s="10"/>
      <c r="D23" s="13" t="s">
        <v>29</v>
      </c>
      <c r="E23" s="10"/>
      <c r="F23" s="13"/>
      <c r="G23" s="10"/>
      <c r="H23" s="10"/>
      <c r="I23" s="37" t="s">
        <v>61</v>
      </c>
      <c r="J23" s="10"/>
      <c r="K23" s="8"/>
    </row>
    <row r="24" spans="1:11" ht="16.5" thickBot="1" x14ac:dyDescent="0.3">
      <c r="A24" s="14" t="s">
        <v>8</v>
      </c>
      <c r="B24" s="15" t="s">
        <v>20</v>
      </c>
      <c r="C24" s="15" t="s">
        <v>21</v>
      </c>
      <c r="D24" s="15" t="s">
        <v>22</v>
      </c>
      <c r="E24" s="15" t="s">
        <v>23</v>
      </c>
      <c r="F24" s="15" t="s">
        <v>24</v>
      </c>
      <c r="G24" s="16" t="s">
        <v>25</v>
      </c>
      <c r="H24" s="16" t="s">
        <v>26</v>
      </c>
      <c r="I24" s="19" t="s">
        <v>14</v>
      </c>
      <c r="J24" s="18"/>
      <c r="K24" s="8"/>
    </row>
    <row r="25" spans="1:11" ht="15.75" x14ac:dyDescent="0.25">
      <c r="A25" s="20"/>
      <c r="B25" s="21">
        <v>0.6</v>
      </c>
      <c r="C25" s="21">
        <v>1</v>
      </c>
      <c r="D25" s="84">
        <v>0.5</v>
      </c>
      <c r="E25" s="21">
        <f>+B25+D25*(C25-B25)</f>
        <v>0.8</v>
      </c>
      <c r="F25" s="105">
        <f>+Dati!C27</f>
        <v>100</v>
      </c>
      <c r="G25" s="22">
        <f>+E25*F25</f>
        <v>80</v>
      </c>
      <c r="H25" s="137">
        <f>+E25*C$22*C$21</f>
        <v>42.342882537764339</v>
      </c>
      <c r="I25" s="138">
        <f>+F25*H25</f>
        <v>4234.2882537764335</v>
      </c>
      <c r="J25" s="26"/>
      <c r="K25" s="8"/>
    </row>
    <row r="26" spans="1:11" ht="15.75" x14ac:dyDescent="0.25">
      <c r="A26" s="28">
        <v>2</v>
      </c>
      <c r="B26" s="29">
        <v>1.4</v>
      </c>
      <c r="C26" s="29">
        <v>1.8</v>
      </c>
      <c r="D26" s="85">
        <v>0.5</v>
      </c>
      <c r="E26" s="21">
        <f t="shared" ref="E26:E30" si="4">+B26+D26*(C26-B26)</f>
        <v>1.6</v>
      </c>
      <c r="F26" s="105">
        <f>+Dati!C28</f>
        <v>110</v>
      </c>
      <c r="G26" s="22">
        <f t="shared" ref="G26:G30" si="5">+E26*F26</f>
        <v>176</v>
      </c>
      <c r="H26" s="137">
        <f t="shared" ref="H26:H30" si="6">+E26*C$22*C$21</f>
        <v>84.685765075528678</v>
      </c>
      <c r="I26" s="138">
        <f t="shared" ref="I26:I30" si="7">+F26*H26</f>
        <v>9315.434158308155</v>
      </c>
      <c r="J26" s="26"/>
      <c r="K26" s="8"/>
    </row>
    <row r="27" spans="1:11" ht="15.75" x14ac:dyDescent="0.25">
      <c r="A27" s="28">
        <v>3</v>
      </c>
      <c r="B27" s="29">
        <v>1.8</v>
      </c>
      <c r="C27" s="29">
        <v>2.2999999999999998</v>
      </c>
      <c r="D27" s="85">
        <v>0.5</v>
      </c>
      <c r="E27" s="21">
        <f t="shared" si="4"/>
        <v>2.0499999999999998</v>
      </c>
      <c r="F27" s="105">
        <f>+Dati!C29</f>
        <v>90</v>
      </c>
      <c r="G27" s="22">
        <f t="shared" si="5"/>
        <v>184.49999999999997</v>
      </c>
      <c r="H27" s="137">
        <f t="shared" si="6"/>
        <v>108.50363650302111</v>
      </c>
      <c r="I27" s="138">
        <f t="shared" si="7"/>
        <v>9765.3272852719001</v>
      </c>
      <c r="J27" s="26"/>
      <c r="K27" s="8"/>
    </row>
    <row r="28" spans="1:11" ht="15.75" x14ac:dyDescent="0.25">
      <c r="A28" s="28">
        <v>4</v>
      </c>
      <c r="B28" s="29">
        <v>2.2000000000000002</v>
      </c>
      <c r="C28" s="29">
        <v>3</v>
      </c>
      <c r="D28" s="85">
        <v>0.5</v>
      </c>
      <c r="E28" s="21">
        <f t="shared" si="4"/>
        <v>2.6</v>
      </c>
      <c r="F28" s="105">
        <f>+Dati!C30</f>
        <v>70</v>
      </c>
      <c r="G28" s="22">
        <f t="shared" si="5"/>
        <v>182</v>
      </c>
      <c r="H28" s="137">
        <f t="shared" si="6"/>
        <v>137.61436824773412</v>
      </c>
      <c r="I28" s="138">
        <f t="shared" si="7"/>
        <v>9633.0057773413882</v>
      </c>
      <c r="J28" s="26"/>
      <c r="K28" s="8"/>
    </row>
    <row r="29" spans="1:11" ht="15.75" x14ac:dyDescent="0.25">
      <c r="A29" s="28">
        <v>5</v>
      </c>
      <c r="B29" s="29">
        <v>2.9</v>
      </c>
      <c r="C29" s="29">
        <v>3.6</v>
      </c>
      <c r="D29" s="85">
        <v>0.5</v>
      </c>
      <c r="E29" s="21">
        <f t="shared" si="4"/>
        <v>3.25</v>
      </c>
      <c r="F29" s="105">
        <f>+Dati!C31</f>
        <v>40</v>
      </c>
      <c r="G29" s="22">
        <f t="shared" si="5"/>
        <v>130</v>
      </c>
      <c r="H29" s="137">
        <f t="shared" si="6"/>
        <v>172.01796030966764</v>
      </c>
      <c r="I29" s="138">
        <f t="shared" si="7"/>
        <v>6880.7184123867055</v>
      </c>
      <c r="J29" s="26"/>
      <c r="K29" s="8"/>
    </row>
    <row r="30" spans="1:11" ht="15.75" x14ac:dyDescent="0.25">
      <c r="A30" s="28" t="s">
        <v>15</v>
      </c>
      <c r="B30" s="29">
        <v>3.4</v>
      </c>
      <c r="C30" s="29">
        <v>4.0999999999999996</v>
      </c>
      <c r="D30" s="85">
        <v>0.5</v>
      </c>
      <c r="E30" s="21">
        <f t="shared" si="4"/>
        <v>3.75</v>
      </c>
      <c r="F30" s="105">
        <f>+Dati!C32</f>
        <v>20</v>
      </c>
      <c r="G30" s="22">
        <f t="shared" si="5"/>
        <v>75</v>
      </c>
      <c r="H30" s="137">
        <f t="shared" si="6"/>
        <v>198.48226189577034</v>
      </c>
      <c r="I30" s="138">
        <f t="shared" si="7"/>
        <v>3969.6452379154066</v>
      </c>
      <c r="J30" s="26"/>
      <c r="K30" s="8"/>
    </row>
    <row r="31" spans="1:11" x14ac:dyDescent="0.25">
      <c r="A31" s="8"/>
      <c r="B31" s="8"/>
      <c r="C31" s="8"/>
      <c r="D31" s="8"/>
      <c r="E31" s="8"/>
      <c r="F31" s="32" t="s">
        <v>16</v>
      </c>
      <c r="G31" s="38">
        <f>SUM(G25:G30)</f>
        <v>827.5</v>
      </c>
      <c r="H31" s="33"/>
      <c r="I31" s="139">
        <f>SUM(I25:I30)</f>
        <v>43798.419124999986</v>
      </c>
      <c r="J31" s="8"/>
      <c r="K31" s="8"/>
    </row>
    <row r="32" spans="1:11" x14ac:dyDescent="0.25">
      <c r="I32" s="140" t="str">
        <f>+IF(I31=C19,"Verificato","non verificato")</f>
        <v>Verificato</v>
      </c>
      <c r="K32" s="8"/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5"/>
  <sheetViews>
    <sheetView workbookViewId="0">
      <selection activeCell="C9" sqref="C9:D9"/>
    </sheetView>
  </sheetViews>
  <sheetFormatPr defaultRowHeight="15" x14ac:dyDescent="0.25"/>
  <cols>
    <col min="1" max="1" width="5" customWidth="1"/>
    <col min="2" max="2" width="64.7109375" customWidth="1"/>
    <col min="3" max="3" width="11.42578125" customWidth="1"/>
    <col min="7" max="7" width="10.140625" customWidth="1"/>
    <col min="8" max="8" width="11.85546875" customWidth="1"/>
    <col min="9" max="9" width="10.42578125" customWidth="1"/>
    <col min="10" max="10" width="3.42578125" customWidth="1"/>
    <col min="11" max="11" width="14.5703125" customWidth="1"/>
  </cols>
  <sheetData>
    <row r="1" spans="1:11" ht="26.25" x14ac:dyDescent="0.4">
      <c r="A1" s="7" t="s">
        <v>59</v>
      </c>
    </row>
    <row r="3" spans="1:11" ht="21" x14ac:dyDescent="0.35">
      <c r="A3" s="199" t="s">
        <v>94</v>
      </c>
      <c r="B3" s="200"/>
      <c r="C3" s="200"/>
      <c r="D3" s="200"/>
      <c r="E3" s="8"/>
      <c r="F3" s="8"/>
      <c r="G3" s="8"/>
      <c r="H3" s="8"/>
      <c r="I3" s="8"/>
      <c r="J3" s="8"/>
      <c r="K3" s="8"/>
    </row>
    <row r="4" spans="1:11" x14ac:dyDescent="0.25">
      <c r="A4" s="8"/>
      <c r="B4" s="36" t="s">
        <v>53</v>
      </c>
      <c r="C4" s="86">
        <f>+Dati!D18</f>
        <v>43542.377199999995</v>
      </c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36" t="s">
        <v>1</v>
      </c>
      <c r="C5" s="86">
        <f>+H34</f>
        <v>10782</v>
      </c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36" t="s">
        <v>27</v>
      </c>
      <c r="C6" s="8">
        <f>+C4/H34</f>
        <v>4.0384323131144493</v>
      </c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36" t="s">
        <v>28</v>
      </c>
      <c r="C7" s="40">
        <v>1</v>
      </c>
      <c r="D7" s="8"/>
      <c r="E7" s="8"/>
      <c r="F7" s="8"/>
      <c r="G7" s="8"/>
      <c r="H7" s="8"/>
      <c r="I7" s="8"/>
      <c r="J7" s="8"/>
      <c r="K7" s="8"/>
    </row>
    <row r="8" spans="1:11" ht="15.75" thickBot="1" x14ac:dyDescent="0.3">
      <c r="A8" s="8"/>
      <c r="B8" s="33"/>
      <c r="C8" s="8"/>
      <c r="D8" s="8"/>
      <c r="E8" s="13"/>
      <c r="F8" s="8"/>
      <c r="G8" s="13"/>
      <c r="H8" s="8"/>
      <c r="I8" s="37" t="s">
        <v>30</v>
      </c>
      <c r="J8" s="37"/>
      <c r="K8" s="8"/>
    </row>
    <row r="9" spans="1:11" ht="15.75" thickBot="1" x14ac:dyDescent="0.3">
      <c r="A9" s="41"/>
      <c r="B9" s="42" t="s">
        <v>31</v>
      </c>
      <c r="C9" s="42" t="s">
        <v>100</v>
      </c>
      <c r="D9" s="42" t="s">
        <v>101</v>
      </c>
      <c r="E9" s="43" t="s">
        <v>22</v>
      </c>
      <c r="F9" s="44" t="s">
        <v>32</v>
      </c>
      <c r="G9" s="50" t="s">
        <v>33</v>
      </c>
      <c r="H9" s="44" t="s">
        <v>34</v>
      </c>
      <c r="I9" s="45" t="s">
        <v>35</v>
      </c>
      <c r="J9" s="44"/>
      <c r="K9" s="44" t="s">
        <v>14</v>
      </c>
    </row>
    <row r="10" spans="1:11" x14ac:dyDescent="0.25">
      <c r="A10" s="46">
        <v>1</v>
      </c>
      <c r="B10" s="51" t="str">
        <f>+Dati!B39</f>
        <v>Musei, biblioteche, scuole, associazioni, luoghi di culto</v>
      </c>
      <c r="C10" s="180">
        <v>0.28999999999999998</v>
      </c>
      <c r="D10" s="180">
        <v>0.52</v>
      </c>
      <c r="E10" s="52">
        <f>+Dati!H39</f>
        <v>0.5</v>
      </c>
      <c r="F10" s="53">
        <f t="shared" ref="F10:F33" si="0">+C10+E10*(D10-C10)</f>
        <v>0.40500000000000003</v>
      </c>
      <c r="G10" s="94">
        <f>+Dati!G39</f>
        <v>200</v>
      </c>
      <c r="H10" s="54">
        <f>+F10*G10</f>
        <v>81</v>
      </c>
      <c r="I10" s="152">
        <f>+F10*$C$6</f>
        <v>1.635565086811352</v>
      </c>
      <c r="J10" s="63"/>
      <c r="K10" s="59">
        <f>+I10*G10</f>
        <v>327.1130173622704</v>
      </c>
    </row>
    <row r="11" spans="1:11" x14ac:dyDescent="0.25">
      <c r="A11" s="48">
        <v>2</v>
      </c>
      <c r="B11" s="51" t="str">
        <f>+Dati!B40</f>
        <v>Campeggi, distributori carburanti, impianti sportivi</v>
      </c>
      <c r="C11" s="181">
        <v>0.44</v>
      </c>
      <c r="D11" s="181">
        <v>0.74</v>
      </c>
      <c r="E11" s="52">
        <f>+Dati!H40</f>
        <v>0.5</v>
      </c>
      <c r="F11" s="55">
        <f t="shared" si="0"/>
        <v>0.59</v>
      </c>
      <c r="G11" s="94">
        <f>+Dati!G40</f>
        <v>500</v>
      </c>
      <c r="H11" s="56">
        <f t="shared" ref="H11:H33" si="1">+F11*G11</f>
        <v>295</v>
      </c>
      <c r="I11" s="153">
        <f t="shared" ref="I11:I33" si="2">+F11*$C$6</f>
        <v>2.382675064737525</v>
      </c>
      <c r="J11" s="64"/>
      <c r="K11" s="60">
        <f t="shared" ref="K11:K33" si="3">+I11*G11</f>
        <v>1191.3375323687626</v>
      </c>
    </row>
    <row r="12" spans="1:11" x14ac:dyDescent="0.25">
      <c r="A12" s="46">
        <v>3</v>
      </c>
      <c r="B12" s="51" t="str">
        <f>+Dati!B41</f>
        <v>Stabilimenti balneari</v>
      </c>
      <c r="C12" s="181">
        <v>0.66</v>
      </c>
      <c r="D12" s="181">
        <v>0.75</v>
      </c>
      <c r="E12" s="52">
        <f>+Dati!H41</f>
        <v>0.5</v>
      </c>
      <c r="F12" s="55">
        <f t="shared" si="0"/>
        <v>0.70500000000000007</v>
      </c>
      <c r="G12" s="94">
        <f>+Dati!G41</f>
        <v>200</v>
      </c>
      <c r="H12" s="56">
        <f t="shared" si="1"/>
        <v>141</v>
      </c>
      <c r="I12" s="153">
        <f t="shared" si="2"/>
        <v>2.847094780745687</v>
      </c>
      <c r="J12" s="64"/>
      <c r="K12" s="60">
        <f t="shared" si="3"/>
        <v>569.41895614913744</v>
      </c>
    </row>
    <row r="13" spans="1:11" x14ac:dyDescent="0.25">
      <c r="A13" s="48">
        <v>4</v>
      </c>
      <c r="B13" s="51" t="str">
        <f>+Dati!B42</f>
        <v>Esposizioni, autosaloni</v>
      </c>
      <c r="C13" s="181">
        <v>0.34</v>
      </c>
      <c r="D13" s="181">
        <v>0.52</v>
      </c>
      <c r="E13" s="52">
        <f>+Dati!H42</f>
        <v>0.5</v>
      </c>
      <c r="F13" s="55">
        <f t="shared" si="0"/>
        <v>0.43000000000000005</v>
      </c>
      <c r="G13" s="94">
        <f>+Dati!G42</f>
        <v>200</v>
      </c>
      <c r="H13" s="56">
        <f t="shared" si="1"/>
        <v>86.000000000000014</v>
      </c>
      <c r="I13" s="153">
        <f t="shared" si="2"/>
        <v>1.7365258946392135</v>
      </c>
      <c r="J13" s="64"/>
      <c r="K13" s="60">
        <f t="shared" si="3"/>
        <v>347.30517892784269</v>
      </c>
    </row>
    <row r="14" spans="1:11" x14ac:dyDescent="0.25">
      <c r="A14" s="46">
        <v>5</v>
      </c>
      <c r="B14" s="51" t="str">
        <f>+Dati!B43</f>
        <v>Alberghi con ristorante</v>
      </c>
      <c r="C14" s="181">
        <v>1.01</v>
      </c>
      <c r="D14" s="181">
        <v>1.55</v>
      </c>
      <c r="E14" s="52">
        <f>+Dati!H43</f>
        <v>0.5</v>
      </c>
      <c r="F14" s="55">
        <f t="shared" si="0"/>
        <v>1.28</v>
      </c>
      <c r="G14" s="94">
        <f>+Dati!G43</f>
        <v>200</v>
      </c>
      <c r="H14" s="56">
        <f t="shared" si="1"/>
        <v>256</v>
      </c>
      <c r="I14" s="153">
        <f t="shared" si="2"/>
        <v>5.1691933607864948</v>
      </c>
      <c r="J14" s="64"/>
      <c r="K14" s="60">
        <f t="shared" si="3"/>
        <v>1033.838672157299</v>
      </c>
    </row>
    <row r="15" spans="1:11" x14ac:dyDescent="0.25">
      <c r="A15" s="48">
        <v>6</v>
      </c>
      <c r="B15" s="51" t="str">
        <f>+Dati!B44</f>
        <v>Alberghi senza ristorante</v>
      </c>
      <c r="C15" s="181">
        <v>0.85</v>
      </c>
      <c r="D15" s="181">
        <v>0.99</v>
      </c>
      <c r="E15" s="52">
        <f>+Dati!H44</f>
        <v>0.5</v>
      </c>
      <c r="F15" s="55">
        <f t="shared" si="0"/>
        <v>0.91999999999999993</v>
      </c>
      <c r="G15" s="94">
        <f>+Dati!G44</f>
        <v>200</v>
      </c>
      <c r="H15" s="56">
        <f t="shared" si="1"/>
        <v>184</v>
      </c>
      <c r="I15" s="153">
        <f t="shared" si="2"/>
        <v>3.715357728065293</v>
      </c>
      <c r="J15" s="64"/>
      <c r="K15" s="60">
        <f t="shared" si="3"/>
        <v>743.07154561305856</v>
      </c>
    </row>
    <row r="16" spans="1:11" x14ac:dyDescent="0.25">
      <c r="A16" s="46">
        <v>7</v>
      </c>
      <c r="B16" s="51" t="str">
        <f>+Dati!B45</f>
        <v>Case di cura e riposo</v>
      </c>
      <c r="C16" s="181">
        <v>0.89</v>
      </c>
      <c r="D16" s="181">
        <v>1.2</v>
      </c>
      <c r="E16" s="52">
        <f>+Dati!H45</f>
        <v>0.5</v>
      </c>
      <c r="F16" s="55">
        <f t="shared" si="0"/>
        <v>1.0449999999999999</v>
      </c>
      <c r="G16" s="94">
        <f>+Dati!G45</f>
        <v>200</v>
      </c>
      <c r="H16" s="56">
        <f t="shared" si="1"/>
        <v>209</v>
      </c>
      <c r="I16" s="153">
        <f t="shared" si="2"/>
        <v>4.2201617672045995</v>
      </c>
      <c r="J16" s="64"/>
      <c r="K16" s="60">
        <f t="shared" si="3"/>
        <v>844.03235344091991</v>
      </c>
    </row>
    <row r="17" spans="1:11" x14ac:dyDescent="0.25">
      <c r="A17" s="48">
        <v>8</v>
      </c>
      <c r="B17" s="51" t="str">
        <f>+Dati!B46</f>
        <v>Uffici, agenzie, studi professionali</v>
      </c>
      <c r="C17" s="181">
        <v>0.9</v>
      </c>
      <c r="D17" s="181">
        <v>1.05</v>
      </c>
      <c r="E17" s="52">
        <f>+Dati!H46</f>
        <v>0.5</v>
      </c>
      <c r="F17" s="55">
        <f t="shared" si="0"/>
        <v>0.97500000000000009</v>
      </c>
      <c r="G17" s="94">
        <f>+Dati!G46</f>
        <v>400</v>
      </c>
      <c r="H17" s="56">
        <f t="shared" si="1"/>
        <v>390.00000000000006</v>
      </c>
      <c r="I17" s="153">
        <f t="shared" si="2"/>
        <v>3.9374715052865885</v>
      </c>
      <c r="J17" s="64"/>
      <c r="K17" s="60">
        <f t="shared" si="3"/>
        <v>1574.9886021146353</v>
      </c>
    </row>
    <row r="18" spans="1:11" x14ac:dyDescent="0.25">
      <c r="A18" s="46">
        <v>9</v>
      </c>
      <c r="B18" s="51" t="str">
        <f>+Dati!B47</f>
        <v>Banche ed istituti di credito</v>
      </c>
      <c r="C18" s="181">
        <v>0.44</v>
      </c>
      <c r="D18" s="181">
        <v>0.63</v>
      </c>
      <c r="E18" s="52">
        <f>+Dati!H47</f>
        <v>0.5</v>
      </c>
      <c r="F18" s="55">
        <f t="shared" si="0"/>
        <v>0.53500000000000003</v>
      </c>
      <c r="G18" s="94">
        <f>+Dati!G47</f>
        <v>250</v>
      </c>
      <c r="H18" s="56">
        <f t="shared" si="1"/>
        <v>133.75</v>
      </c>
      <c r="I18" s="153">
        <f t="shared" si="2"/>
        <v>2.1605612875162303</v>
      </c>
      <c r="J18" s="64"/>
      <c r="K18" s="60">
        <f t="shared" si="3"/>
        <v>540.14032187905764</v>
      </c>
    </row>
    <row r="19" spans="1:11" ht="30" x14ac:dyDescent="0.25">
      <c r="A19" s="48">
        <v>10</v>
      </c>
      <c r="B19" s="51" t="str">
        <f>+Dati!B48</f>
        <v>Negozi abbigliamento, calzature, libreria, cartoleria, ferramenta, e altri beni durevoli</v>
      </c>
      <c r="C19" s="181">
        <v>0.94</v>
      </c>
      <c r="D19" s="181">
        <v>1.1599999999999999</v>
      </c>
      <c r="E19" s="52">
        <f>+Dati!H48</f>
        <v>0.5</v>
      </c>
      <c r="F19" s="55">
        <f t="shared" si="0"/>
        <v>1.0499999999999998</v>
      </c>
      <c r="G19" s="94">
        <f>+Dati!G48</f>
        <v>300</v>
      </c>
      <c r="H19" s="56">
        <f t="shared" si="1"/>
        <v>314.99999999999994</v>
      </c>
      <c r="I19" s="153">
        <f t="shared" si="2"/>
        <v>4.2403539287701708</v>
      </c>
      <c r="J19" s="64"/>
      <c r="K19" s="60">
        <f t="shared" si="3"/>
        <v>1272.1061786310513</v>
      </c>
    </row>
    <row r="20" spans="1:11" x14ac:dyDescent="0.25">
      <c r="A20" s="46"/>
      <c r="B20" s="51" t="str">
        <f>+Dati!B49</f>
        <v xml:space="preserve"> - idem utenze giornaliere</v>
      </c>
      <c r="C20" s="57">
        <f>+C19*(1+$C$7)</f>
        <v>1.88</v>
      </c>
      <c r="D20" s="57">
        <f>+D19*(1+$C$7)</f>
        <v>2.3199999999999998</v>
      </c>
      <c r="E20" s="52">
        <f>+Dati!H49</f>
        <v>0.5</v>
      </c>
      <c r="F20" s="176">
        <f t="shared" si="0"/>
        <v>2.0999999999999996</v>
      </c>
      <c r="G20" s="186">
        <f>+Dati!G49</f>
        <v>300</v>
      </c>
      <c r="H20" s="177">
        <f t="shared" si="1"/>
        <v>629.99999999999989</v>
      </c>
      <c r="I20" s="153">
        <f t="shared" si="2"/>
        <v>8.4807078575403416</v>
      </c>
      <c r="J20" s="64"/>
      <c r="K20" s="95">
        <f t="shared" si="3"/>
        <v>2544.2123572621026</v>
      </c>
    </row>
    <row r="21" spans="1:11" x14ac:dyDescent="0.25">
      <c r="A21" s="48">
        <v>11</v>
      </c>
      <c r="B21" s="51" t="str">
        <f>+Dati!B50</f>
        <v>Edicola, farmacia, tabaccaio, plurilicenze</v>
      </c>
      <c r="C21" s="181">
        <v>1.02</v>
      </c>
      <c r="D21" s="181">
        <v>1.52</v>
      </c>
      <c r="E21" s="52">
        <f>+Dati!H50</f>
        <v>0.5</v>
      </c>
      <c r="F21" s="55">
        <f t="shared" si="0"/>
        <v>1.27</v>
      </c>
      <c r="G21" s="94">
        <f>+Dati!G50</f>
        <v>100</v>
      </c>
      <c r="H21" s="56">
        <f t="shared" si="1"/>
        <v>127</v>
      </c>
      <c r="I21" s="153">
        <f t="shared" si="2"/>
        <v>5.1288090376553503</v>
      </c>
      <c r="J21" s="64"/>
      <c r="K21" s="60">
        <f t="shared" si="3"/>
        <v>512.88090376553498</v>
      </c>
    </row>
    <row r="22" spans="1:11" ht="30" x14ac:dyDescent="0.25">
      <c r="A22" s="46">
        <v>12</v>
      </c>
      <c r="B22" s="51" t="str">
        <f>+Dati!B51</f>
        <v>Attività artigianali tipo botteghe: falegname, idraulico, fabbro, elettricista, parrucc.</v>
      </c>
      <c r="C22" s="181">
        <v>0.78</v>
      </c>
      <c r="D22" s="181">
        <v>1.06</v>
      </c>
      <c r="E22" s="52">
        <f>+Dati!H51</f>
        <v>0.5</v>
      </c>
      <c r="F22" s="55">
        <f t="shared" si="0"/>
        <v>0.92</v>
      </c>
      <c r="G22" s="94">
        <f>+Dati!G51</f>
        <v>300</v>
      </c>
      <c r="H22" s="56">
        <f t="shared" si="1"/>
        <v>276</v>
      </c>
      <c r="I22" s="153">
        <f t="shared" si="2"/>
        <v>3.7153577280652934</v>
      </c>
      <c r="J22" s="64"/>
      <c r="K22" s="60">
        <f t="shared" si="3"/>
        <v>1114.607318419588</v>
      </c>
    </row>
    <row r="23" spans="1:11" x14ac:dyDescent="0.25">
      <c r="A23" s="48">
        <v>13</v>
      </c>
      <c r="B23" s="51" t="str">
        <f>+Dati!B52</f>
        <v>Carrozzeria, autofficina, elettrauto</v>
      </c>
      <c r="C23" s="181">
        <v>0.91</v>
      </c>
      <c r="D23" s="181">
        <v>1.45</v>
      </c>
      <c r="E23" s="52">
        <f>+Dati!H52</f>
        <v>0.5</v>
      </c>
      <c r="F23" s="55">
        <f t="shared" si="0"/>
        <v>1.18</v>
      </c>
      <c r="G23" s="94">
        <f>+Dati!G52</f>
        <v>300</v>
      </c>
      <c r="H23" s="56">
        <f t="shared" si="1"/>
        <v>354</v>
      </c>
      <c r="I23" s="153">
        <f t="shared" si="2"/>
        <v>4.76535012947505</v>
      </c>
      <c r="J23" s="64"/>
      <c r="K23" s="60">
        <f t="shared" si="3"/>
        <v>1429.6050388425149</v>
      </c>
    </row>
    <row r="24" spans="1:11" x14ac:dyDescent="0.25">
      <c r="A24" s="46">
        <v>14</v>
      </c>
      <c r="B24" s="51" t="str">
        <f>+Dati!B53</f>
        <v>Attività industriali con capannoni di produzione</v>
      </c>
      <c r="C24" s="181">
        <v>0.41</v>
      </c>
      <c r="D24" s="181">
        <v>0.86</v>
      </c>
      <c r="E24" s="52">
        <f>+Dati!H53</f>
        <v>0.5</v>
      </c>
      <c r="F24" s="55">
        <f t="shared" si="0"/>
        <v>0.63500000000000001</v>
      </c>
      <c r="G24" s="94">
        <f>+Dati!G53</f>
        <v>600</v>
      </c>
      <c r="H24" s="56">
        <f t="shared" si="1"/>
        <v>381</v>
      </c>
      <c r="I24" s="153">
        <f t="shared" si="2"/>
        <v>2.5644045188276752</v>
      </c>
      <c r="J24" s="64"/>
      <c r="K24" s="60">
        <f t="shared" si="3"/>
        <v>1538.6427112966051</v>
      </c>
    </row>
    <row r="25" spans="1:11" x14ac:dyDescent="0.25">
      <c r="A25" s="48">
        <v>15</v>
      </c>
      <c r="B25" s="51" t="str">
        <f>+Dati!B54</f>
        <v>Attività artigianali di produzione beni specifici</v>
      </c>
      <c r="C25" s="181">
        <v>0.67</v>
      </c>
      <c r="D25" s="181">
        <v>0.95</v>
      </c>
      <c r="E25" s="52">
        <f>+Dati!H54</f>
        <v>0.5</v>
      </c>
      <c r="F25" s="55">
        <f t="shared" si="0"/>
        <v>0.81</v>
      </c>
      <c r="G25" s="94">
        <f>+Dati!G54</f>
        <v>300</v>
      </c>
      <c r="H25" s="56">
        <f t="shared" si="1"/>
        <v>243.00000000000003</v>
      </c>
      <c r="I25" s="153">
        <f t="shared" si="2"/>
        <v>3.2711301736227041</v>
      </c>
      <c r="J25" s="64"/>
      <c r="K25" s="60">
        <f t="shared" si="3"/>
        <v>981.33905208681119</v>
      </c>
    </row>
    <row r="26" spans="1:11" x14ac:dyDescent="0.25">
      <c r="A26" s="46">
        <v>16</v>
      </c>
      <c r="B26" s="51" t="str">
        <f>+Dati!B55</f>
        <v>Ristoranti, trattorie, osterie, pizzerie, mense, pub, birrerie</v>
      </c>
      <c r="C26" s="181">
        <v>5.54</v>
      </c>
      <c r="D26" s="181">
        <v>8.18</v>
      </c>
      <c r="E26" s="52">
        <f>+Dati!H55</f>
        <v>0.5</v>
      </c>
      <c r="F26" s="178">
        <f t="shared" si="0"/>
        <v>6.8599999999999994</v>
      </c>
      <c r="G26" s="94">
        <f>+Dati!G55</f>
        <v>200</v>
      </c>
      <c r="H26" s="179">
        <f t="shared" si="1"/>
        <v>1372</v>
      </c>
      <c r="I26" s="153">
        <f t="shared" si="2"/>
        <v>27.70364566796512</v>
      </c>
      <c r="J26" s="64"/>
      <c r="K26" s="179">
        <f t="shared" si="3"/>
        <v>5540.729133593024</v>
      </c>
    </row>
    <row r="27" spans="1:11" x14ac:dyDescent="0.25">
      <c r="A27" s="46"/>
      <c r="B27" s="51" t="str">
        <f>+Dati!B56</f>
        <v xml:space="preserve"> - idem utenze giornaliere</v>
      </c>
      <c r="C27" s="57">
        <f t="shared" ref="C27:D27" si="4">+C26*(1+$C$7)</f>
        <v>11.08</v>
      </c>
      <c r="D27" s="57">
        <f t="shared" si="4"/>
        <v>16.36</v>
      </c>
      <c r="E27" s="52">
        <f>+Dati!H56</f>
        <v>0.5</v>
      </c>
      <c r="F27" s="176">
        <f t="shared" si="0"/>
        <v>13.719999999999999</v>
      </c>
      <c r="G27" s="186">
        <f>+Dati!G56</f>
        <v>200</v>
      </c>
      <c r="H27" s="177">
        <f t="shared" si="1"/>
        <v>2744</v>
      </c>
      <c r="I27" s="153">
        <f t="shared" si="2"/>
        <v>55.407291335930239</v>
      </c>
      <c r="J27" s="64"/>
      <c r="K27" s="95">
        <f t="shared" si="3"/>
        <v>11081.458267186048</v>
      </c>
    </row>
    <row r="28" spans="1:11" x14ac:dyDescent="0.25">
      <c r="A28" s="48">
        <v>17</v>
      </c>
      <c r="B28" s="51" t="str">
        <f>+Dati!B57</f>
        <v>Bar, caffè, pasticceria</v>
      </c>
      <c r="C28" s="181">
        <v>4.38</v>
      </c>
      <c r="D28" s="181">
        <v>6.32</v>
      </c>
      <c r="E28" s="52">
        <f>+Dati!H57</f>
        <v>0.5</v>
      </c>
      <c r="F28" s="55">
        <f t="shared" si="0"/>
        <v>5.35</v>
      </c>
      <c r="G28" s="94">
        <f>+Dati!G57</f>
        <v>100</v>
      </c>
      <c r="H28" s="56">
        <f t="shared" si="1"/>
        <v>535</v>
      </c>
      <c r="I28" s="153">
        <f t="shared" si="2"/>
        <v>21.605612875162301</v>
      </c>
      <c r="J28" s="64"/>
      <c r="K28" s="60">
        <f t="shared" si="3"/>
        <v>2160.5612875162301</v>
      </c>
    </row>
    <row r="29" spans="1:11" ht="30" x14ac:dyDescent="0.25">
      <c r="A29" s="46">
        <v>18</v>
      </c>
      <c r="B29" s="51" t="str">
        <f>+Dati!B58</f>
        <v>Supermercato, pane e pasta, macelleria, salumi e formaggi, generi alimentari</v>
      </c>
      <c r="C29" s="181">
        <v>0.56999999999999995</v>
      </c>
      <c r="D29" s="181">
        <v>2.8</v>
      </c>
      <c r="E29" s="52">
        <f>+Dati!H58</f>
        <v>0.5</v>
      </c>
      <c r="F29" s="55">
        <f t="shared" si="0"/>
        <v>1.6850000000000001</v>
      </c>
      <c r="G29" s="94">
        <f>+Dati!G58</f>
        <v>150</v>
      </c>
      <c r="H29" s="56">
        <f t="shared" si="1"/>
        <v>252.75</v>
      </c>
      <c r="I29" s="153">
        <f t="shared" si="2"/>
        <v>6.8047584475978473</v>
      </c>
      <c r="J29" s="64"/>
      <c r="K29" s="60">
        <f t="shared" si="3"/>
        <v>1020.7137671396771</v>
      </c>
    </row>
    <row r="30" spans="1:11" x14ac:dyDescent="0.25">
      <c r="A30" s="48">
        <v>19</v>
      </c>
      <c r="B30" s="51" t="str">
        <f>+Dati!B59</f>
        <v xml:space="preserve">Plurilicenze alimentari e/o miste </v>
      </c>
      <c r="C30" s="181">
        <v>2.14</v>
      </c>
      <c r="D30" s="181">
        <v>3.02</v>
      </c>
      <c r="E30" s="52">
        <f>+Dati!H59</f>
        <v>0.5</v>
      </c>
      <c r="F30" s="55">
        <f t="shared" si="0"/>
        <v>2.58</v>
      </c>
      <c r="G30" s="94">
        <f>+Dati!G59</f>
        <v>200</v>
      </c>
      <c r="H30" s="56">
        <f t="shared" si="1"/>
        <v>516</v>
      </c>
      <c r="I30" s="153">
        <f t="shared" si="2"/>
        <v>10.419155367835279</v>
      </c>
      <c r="J30" s="64"/>
      <c r="K30" s="60">
        <f t="shared" si="3"/>
        <v>2083.8310735670557</v>
      </c>
    </row>
    <row r="31" spans="1:11" x14ac:dyDescent="0.25">
      <c r="A31" s="46">
        <v>20</v>
      </c>
      <c r="B31" s="51" t="str">
        <f>+Dati!B60</f>
        <v>Ortofrutta, pescherie, fiori e piante</v>
      </c>
      <c r="C31" s="181">
        <v>0.34</v>
      </c>
      <c r="D31" s="181">
        <v>10.88</v>
      </c>
      <c r="E31" s="52">
        <f>+Dati!H60</f>
        <v>0.5</v>
      </c>
      <c r="F31" s="55">
        <f t="shared" si="0"/>
        <v>5.61</v>
      </c>
      <c r="G31" s="94">
        <f>+Dati!G60</f>
        <v>100</v>
      </c>
      <c r="H31" s="56">
        <f t="shared" si="1"/>
        <v>561</v>
      </c>
      <c r="I31" s="153">
        <f t="shared" si="2"/>
        <v>22.655605276572061</v>
      </c>
      <c r="J31" s="64"/>
      <c r="K31" s="60">
        <f t="shared" si="3"/>
        <v>2265.560527657206</v>
      </c>
    </row>
    <row r="32" spans="1:11" x14ac:dyDescent="0.25">
      <c r="A32" s="48"/>
      <c r="B32" s="51" t="str">
        <f>+Dati!B61</f>
        <v xml:space="preserve"> - idem utenze giornaliere</v>
      </c>
      <c r="C32" s="57">
        <f t="shared" ref="C32:D32" si="5">+C31*(1+$C$7)</f>
        <v>0.68</v>
      </c>
      <c r="D32" s="57">
        <f t="shared" si="5"/>
        <v>21.76</v>
      </c>
      <c r="E32" s="52">
        <f>+Dati!H61</f>
        <v>0.5</v>
      </c>
      <c r="F32" s="176">
        <f t="shared" si="0"/>
        <v>11.22</v>
      </c>
      <c r="G32" s="94">
        <f>+Dati!G61</f>
        <v>50</v>
      </c>
      <c r="H32" s="177">
        <f t="shared" si="1"/>
        <v>561</v>
      </c>
      <c r="I32" s="153">
        <f t="shared" si="2"/>
        <v>45.311210553144122</v>
      </c>
      <c r="J32" s="64"/>
      <c r="K32" s="95">
        <f t="shared" si="3"/>
        <v>2265.560527657206</v>
      </c>
    </row>
    <row r="33" spans="1:11" ht="15" customHeight="1" x14ac:dyDescent="0.25">
      <c r="A33" s="46">
        <v>21</v>
      </c>
      <c r="B33" s="51" t="str">
        <f>+Dati!B62</f>
        <v>Discoteche, night-club</v>
      </c>
      <c r="C33" s="181">
        <v>1.02</v>
      </c>
      <c r="D33" s="181">
        <v>1.75</v>
      </c>
      <c r="E33" s="52">
        <f>+Dati!H62</f>
        <v>0.5</v>
      </c>
      <c r="F33" s="178">
        <f t="shared" si="0"/>
        <v>1.385</v>
      </c>
      <c r="G33" s="94">
        <f>+Dati!G62</f>
        <v>100</v>
      </c>
      <c r="H33" s="179">
        <f t="shared" si="1"/>
        <v>138.5</v>
      </c>
      <c r="I33" s="153">
        <f t="shared" si="2"/>
        <v>5.5932287536635119</v>
      </c>
      <c r="J33" s="64"/>
      <c r="K33" s="179">
        <f t="shared" si="3"/>
        <v>559.32287536635124</v>
      </c>
    </row>
    <row r="34" spans="1:11" ht="15.75" thickBot="1" x14ac:dyDescent="0.3">
      <c r="A34" s="8"/>
      <c r="B34" s="8"/>
      <c r="C34" s="8"/>
      <c r="D34" s="8"/>
      <c r="E34" s="8"/>
      <c r="F34" s="8"/>
      <c r="G34" s="89">
        <f>SUM(G10:G33)</f>
        <v>5650</v>
      </c>
      <c r="H34" s="49">
        <f>SUM(H10:H33)</f>
        <v>10782</v>
      </c>
      <c r="I34" s="61"/>
      <c r="J34" s="65"/>
      <c r="K34" s="62">
        <f>SUM(K10:K33)</f>
        <v>43542.377199999981</v>
      </c>
    </row>
    <row r="35" spans="1:11" x14ac:dyDescent="0.25">
      <c r="K35" s="88" t="str">
        <f>+IF(K34=C4,"Verificato","non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3" workbookViewId="0">
      <selection activeCell="D10" sqref="D10"/>
    </sheetView>
  </sheetViews>
  <sheetFormatPr defaultRowHeight="15" x14ac:dyDescent="0.25"/>
  <cols>
    <col min="1" max="1" width="4" customWidth="1"/>
    <col min="2" max="2" width="72.42578125" customWidth="1"/>
    <col min="3" max="3" width="12" bestFit="1" customWidth="1"/>
    <col min="9" max="9" width="10.5703125" bestFit="1" customWidth="1"/>
    <col min="10" max="10" width="2.85546875" customWidth="1"/>
    <col min="11" max="11" width="13.7109375" customWidth="1"/>
  </cols>
  <sheetData>
    <row r="1" spans="1:11" ht="26.25" x14ac:dyDescent="0.4">
      <c r="A1" s="7" t="s">
        <v>60</v>
      </c>
    </row>
    <row r="3" spans="1:11" ht="21" x14ac:dyDescent="0.35">
      <c r="A3" s="199" t="s">
        <v>94</v>
      </c>
      <c r="B3" s="200"/>
      <c r="C3" s="200"/>
      <c r="D3" s="200"/>
    </row>
    <row r="4" spans="1:11" x14ac:dyDescent="0.25">
      <c r="B4" s="66" t="s">
        <v>58</v>
      </c>
      <c r="C4" s="80">
        <f>+Dati!G18</f>
        <v>58501.580874999992</v>
      </c>
    </row>
    <row r="5" spans="1:11" x14ac:dyDescent="0.25">
      <c r="B5" s="66" t="s">
        <v>1</v>
      </c>
      <c r="C5" s="79">
        <f>+H34</f>
        <v>94822.25</v>
      </c>
    </row>
    <row r="6" spans="1:11" x14ac:dyDescent="0.25">
      <c r="B6" s="66" t="s">
        <v>57</v>
      </c>
      <c r="C6" s="87">
        <f>+C4/C5</f>
        <v>0.61696048000337467</v>
      </c>
    </row>
    <row r="7" spans="1:11" x14ac:dyDescent="0.25">
      <c r="B7" s="36" t="s">
        <v>78</v>
      </c>
      <c r="C7" s="142">
        <f>+Dati!D37</f>
        <v>1</v>
      </c>
    </row>
    <row r="8" spans="1:11" ht="15.75" thickBot="1" x14ac:dyDescent="0.3">
      <c r="B8" s="33"/>
      <c r="E8" s="67" t="s">
        <v>29</v>
      </c>
      <c r="G8" s="67"/>
      <c r="H8" s="67"/>
      <c r="I8" s="37"/>
      <c r="J8" s="37"/>
    </row>
    <row r="9" spans="1:11" ht="15.75" thickBot="1" x14ac:dyDescent="0.3">
      <c r="A9" s="68"/>
      <c r="B9" s="69" t="s">
        <v>31</v>
      </c>
      <c r="C9" s="42" t="s">
        <v>102</v>
      </c>
      <c r="D9" s="42" t="s">
        <v>103</v>
      </c>
      <c r="E9" s="70" t="s">
        <v>22</v>
      </c>
      <c r="F9" s="71" t="s">
        <v>56</v>
      </c>
      <c r="G9" s="81" t="s">
        <v>33</v>
      </c>
      <c r="H9" s="71" t="s">
        <v>82</v>
      </c>
      <c r="I9" s="71" t="s">
        <v>30</v>
      </c>
      <c r="J9" s="71"/>
      <c r="K9" s="72" t="s">
        <v>14</v>
      </c>
    </row>
    <row r="10" spans="1:11" x14ac:dyDescent="0.25">
      <c r="A10" s="73">
        <v>1</v>
      </c>
      <c r="B10" s="74" t="str">
        <f>+Dati!B39</f>
        <v>Musei, biblioteche, scuole, associazioni, luoghi di culto</v>
      </c>
      <c r="C10" s="75">
        <v>2.54</v>
      </c>
      <c r="D10" s="75">
        <v>4.55</v>
      </c>
      <c r="E10" s="76">
        <f>+Dati!H39</f>
        <v>0.5</v>
      </c>
      <c r="F10" s="47">
        <f>+C10+E10*(D10-C10)</f>
        <v>3.5449999999999999</v>
      </c>
      <c r="G10" s="82">
        <f>+Dati!G39</f>
        <v>200</v>
      </c>
      <c r="H10" s="77">
        <f>+F10*G10</f>
        <v>709</v>
      </c>
      <c r="I10" s="47">
        <f>+$C$6*F10</f>
        <v>2.1871249016119632</v>
      </c>
      <c r="J10" s="47"/>
      <c r="K10" s="1">
        <f>+G10*I10</f>
        <v>437.42498032239263</v>
      </c>
    </row>
    <row r="11" spans="1:11" x14ac:dyDescent="0.25">
      <c r="A11" s="78">
        <v>2</v>
      </c>
      <c r="B11" s="74" t="str">
        <f>+Dati!B40</f>
        <v>Campeggi, distributori carburanti, impianti sportivi</v>
      </c>
      <c r="C11" s="75">
        <v>3.83</v>
      </c>
      <c r="D11" s="75">
        <v>6.5</v>
      </c>
      <c r="E11" s="76">
        <f>+Dati!H40</f>
        <v>0.5</v>
      </c>
      <c r="F11" s="47">
        <f t="shared" ref="F11:F33" si="0">+C11+E11*(D11-C11)</f>
        <v>5.165</v>
      </c>
      <c r="G11" s="82">
        <f>+Dati!G40</f>
        <v>500</v>
      </c>
      <c r="H11" s="77">
        <f t="shared" ref="H11:H33" si="1">+F11*G11</f>
        <v>2582.5</v>
      </c>
      <c r="I11" s="47">
        <f t="shared" ref="I11:I33" si="2">+$C$6*F11</f>
        <v>3.1866008792174303</v>
      </c>
      <c r="J11" s="47"/>
      <c r="K11" s="1">
        <f t="shared" ref="K11:K33" si="3">+G11*I11</f>
        <v>1593.3004396087151</v>
      </c>
    </row>
    <row r="12" spans="1:11" x14ac:dyDescent="0.25">
      <c r="A12" s="73">
        <v>3</v>
      </c>
      <c r="B12" s="74" t="str">
        <f>+Dati!B41</f>
        <v>Stabilimenti balneari</v>
      </c>
      <c r="C12" s="75">
        <v>5.8</v>
      </c>
      <c r="D12" s="75">
        <v>6.64</v>
      </c>
      <c r="E12" s="76">
        <f>+Dati!H41</f>
        <v>0.5</v>
      </c>
      <c r="F12" s="47">
        <f t="shared" si="0"/>
        <v>6.22</v>
      </c>
      <c r="G12" s="82">
        <f>+Dati!G41</f>
        <v>200</v>
      </c>
      <c r="H12" s="77">
        <f t="shared" si="1"/>
        <v>1244</v>
      </c>
      <c r="I12" s="47">
        <f t="shared" si="2"/>
        <v>3.8374941856209901</v>
      </c>
      <c r="J12" s="47"/>
      <c r="K12" s="1">
        <f t="shared" si="3"/>
        <v>767.49883712419796</v>
      </c>
    </row>
    <row r="13" spans="1:11" x14ac:dyDescent="0.25">
      <c r="A13" s="78">
        <v>4</v>
      </c>
      <c r="B13" s="74" t="str">
        <f>+Dati!B42</f>
        <v>Esposizioni, autosaloni</v>
      </c>
      <c r="C13" s="75">
        <v>2.97</v>
      </c>
      <c r="D13" s="75">
        <v>4.55</v>
      </c>
      <c r="E13" s="76">
        <f>+Dati!H42</f>
        <v>0.5</v>
      </c>
      <c r="F13" s="47">
        <f t="shared" si="0"/>
        <v>3.76</v>
      </c>
      <c r="G13" s="82">
        <f>+Dati!G42</f>
        <v>200</v>
      </c>
      <c r="H13" s="77">
        <f t="shared" si="1"/>
        <v>752</v>
      </c>
      <c r="I13" s="47">
        <f t="shared" si="2"/>
        <v>2.3197714048126885</v>
      </c>
      <c r="J13" s="47"/>
      <c r="K13" s="1">
        <f t="shared" si="3"/>
        <v>463.95428096253772</v>
      </c>
    </row>
    <row r="14" spans="1:11" x14ac:dyDescent="0.25">
      <c r="A14" s="73">
        <v>5</v>
      </c>
      <c r="B14" s="74" t="str">
        <f>+Dati!B43</f>
        <v>Alberghi con ristorante</v>
      </c>
      <c r="C14" s="75">
        <v>8.91</v>
      </c>
      <c r="D14" s="75">
        <v>13.64</v>
      </c>
      <c r="E14" s="76">
        <f>+Dati!H43</f>
        <v>0.5</v>
      </c>
      <c r="F14" s="47">
        <f t="shared" si="0"/>
        <v>11.275</v>
      </c>
      <c r="G14" s="82">
        <f>+Dati!G43</f>
        <v>200</v>
      </c>
      <c r="H14" s="77">
        <f t="shared" si="1"/>
        <v>2255</v>
      </c>
      <c r="I14" s="47">
        <f t="shared" si="2"/>
        <v>6.9562294120380495</v>
      </c>
      <c r="J14" s="47"/>
      <c r="K14" s="1">
        <f t="shared" si="3"/>
        <v>1391.24588240761</v>
      </c>
    </row>
    <row r="15" spans="1:11" x14ac:dyDescent="0.25">
      <c r="A15" s="78">
        <v>6</v>
      </c>
      <c r="B15" s="74" t="str">
        <f>+Dati!B44</f>
        <v>Alberghi senza ristorante</v>
      </c>
      <c r="C15" s="75">
        <v>7.51</v>
      </c>
      <c r="D15" s="75">
        <v>8.6999999999999993</v>
      </c>
      <c r="E15" s="76">
        <f>+Dati!H44</f>
        <v>0.5</v>
      </c>
      <c r="F15" s="47">
        <f t="shared" si="0"/>
        <v>8.1050000000000004</v>
      </c>
      <c r="G15" s="82">
        <f>+Dati!G44</f>
        <v>200</v>
      </c>
      <c r="H15" s="77">
        <f t="shared" si="1"/>
        <v>1621</v>
      </c>
      <c r="I15" s="47">
        <f t="shared" si="2"/>
        <v>5.0004646904273518</v>
      </c>
      <c r="J15" s="47"/>
      <c r="K15" s="1">
        <f t="shared" si="3"/>
        <v>1000.0929380854703</v>
      </c>
    </row>
    <row r="16" spans="1:11" x14ac:dyDescent="0.25">
      <c r="A16" s="73">
        <v>7</v>
      </c>
      <c r="B16" s="74" t="str">
        <f>+Dati!B45</f>
        <v>Case di cura e riposo</v>
      </c>
      <c r="C16" s="75">
        <v>7.8</v>
      </c>
      <c r="D16" s="75">
        <v>10.54</v>
      </c>
      <c r="E16" s="76">
        <f>+Dati!H45</f>
        <v>0.5</v>
      </c>
      <c r="F16" s="47">
        <f t="shared" si="0"/>
        <v>9.17</v>
      </c>
      <c r="G16" s="82">
        <f>+Dati!G45</f>
        <v>200</v>
      </c>
      <c r="H16" s="77">
        <f t="shared" si="1"/>
        <v>1834</v>
      </c>
      <c r="I16" s="47">
        <f t="shared" si="2"/>
        <v>5.6575276016309459</v>
      </c>
      <c r="J16" s="47"/>
      <c r="K16" s="1">
        <f t="shared" si="3"/>
        <v>1131.5055203261891</v>
      </c>
    </row>
    <row r="17" spans="1:11" x14ac:dyDescent="0.25">
      <c r="A17" s="73">
        <v>8</v>
      </c>
      <c r="B17" s="74" t="str">
        <f>+Dati!B46</f>
        <v>Uffici, agenzie, studi professionali</v>
      </c>
      <c r="C17" s="75">
        <v>7.89</v>
      </c>
      <c r="D17" s="75">
        <v>9.26</v>
      </c>
      <c r="E17" s="76">
        <f>+Dati!H46</f>
        <v>0.5</v>
      </c>
      <c r="F17" s="47">
        <f t="shared" si="0"/>
        <v>8.5749999999999993</v>
      </c>
      <c r="G17" s="82">
        <f>+Dati!G46</f>
        <v>400</v>
      </c>
      <c r="H17" s="77">
        <f t="shared" si="1"/>
        <v>3429.9999999999995</v>
      </c>
      <c r="I17" s="47">
        <f t="shared" si="2"/>
        <v>5.2904361160289373</v>
      </c>
      <c r="J17" s="47"/>
      <c r="K17" s="1">
        <f t="shared" si="3"/>
        <v>2116.174446411575</v>
      </c>
    </row>
    <row r="18" spans="1:11" x14ac:dyDescent="0.25">
      <c r="A18" s="78">
        <v>9</v>
      </c>
      <c r="B18" s="74" t="str">
        <f>+Dati!B47</f>
        <v>Banche ed istituti di credito</v>
      </c>
      <c r="C18" s="75">
        <v>3.9</v>
      </c>
      <c r="D18" s="75">
        <v>5.51</v>
      </c>
      <c r="E18" s="76">
        <f>+Dati!H47</f>
        <v>0.5</v>
      </c>
      <c r="F18" s="47">
        <f t="shared" si="0"/>
        <v>4.7050000000000001</v>
      </c>
      <c r="G18" s="82">
        <f>+Dati!G47</f>
        <v>250</v>
      </c>
      <c r="H18" s="77">
        <f t="shared" si="1"/>
        <v>1176.25</v>
      </c>
      <c r="I18" s="47">
        <f t="shared" si="2"/>
        <v>2.9027990584158778</v>
      </c>
      <c r="J18" s="47"/>
      <c r="K18" s="1">
        <f t="shared" si="3"/>
        <v>725.69976460396947</v>
      </c>
    </row>
    <row r="19" spans="1:11" ht="15.75" customHeight="1" x14ac:dyDescent="0.25">
      <c r="A19" s="73">
        <v>10</v>
      </c>
      <c r="B19" s="74" t="str">
        <f>+Dati!B48</f>
        <v>Negozi abbigliamento, calzature, libreria, cartoleria, ferramenta, e altri beni durevoli</v>
      </c>
      <c r="C19" s="75">
        <v>8.24</v>
      </c>
      <c r="D19" s="75">
        <v>10.210000000000001</v>
      </c>
      <c r="E19" s="76">
        <f>+Dati!H48</f>
        <v>0.5</v>
      </c>
      <c r="F19" s="47">
        <f t="shared" si="0"/>
        <v>9.2250000000000014</v>
      </c>
      <c r="G19" s="82">
        <f>+Dati!G48</f>
        <v>300</v>
      </c>
      <c r="H19" s="77">
        <f t="shared" si="1"/>
        <v>2767.5000000000005</v>
      </c>
      <c r="I19" s="47">
        <f t="shared" si="2"/>
        <v>5.6914604280311325</v>
      </c>
      <c r="J19" s="47"/>
      <c r="K19" s="1">
        <f t="shared" si="3"/>
        <v>1707.4381284093397</v>
      </c>
    </row>
    <row r="20" spans="1:11" x14ac:dyDescent="0.25">
      <c r="A20" s="78"/>
      <c r="B20" s="168" t="str">
        <f>+Dati!B49</f>
        <v xml:space="preserve"> - idem utenze giornaliere</v>
      </c>
      <c r="C20" s="171">
        <f>+C19*(1+$C$7)</f>
        <v>16.48</v>
      </c>
      <c r="D20" s="171">
        <f>+D19*(1+$C$7)</f>
        <v>20.420000000000002</v>
      </c>
      <c r="E20" s="76">
        <f>+Dati!H49</f>
        <v>0.5</v>
      </c>
      <c r="F20" s="96">
        <f t="shared" si="0"/>
        <v>18.450000000000003</v>
      </c>
      <c r="G20" s="82">
        <f>+Dati!G49</f>
        <v>300</v>
      </c>
      <c r="H20" s="183">
        <f t="shared" si="1"/>
        <v>5535.0000000000009</v>
      </c>
      <c r="I20" s="96">
        <f t="shared" si="2"/>
        <v>11.382920856062265</v>
      </c>
      <c r="J20" s="96"/>
      <c r="K20" s="184">
        <f t="shared" si="3"/>
        <v>3414.8762568186794</v>
      </c>
    </row>
    <row r="21" spans="1:11" x14ac:dyDescent="0.25">
      <c r="A21" s="78">
        <v>11</v>
      </c>
      <c r="B21" s="74" t="str">
        <f>+Dati!B50</f>
        <v>Edicola, farmacia, tabaccaio, plurilicenze</v>
      </c>
      <c r="C21" s="75">
        <v>8.98</v>
      </c>
      <c r="D21" s="75">
        <v>13.34</v>
      </c>
      <c r="E21" s="76">
        <f>+Dati!H50</f>
        <v>0.5</v>
      </c>
      <c r="F21" s="47">
        <f t="shared" si="0"/>
        <v>11.16</v>
      </c>
      <c r="G21" s="82">
        <f>+Dati!G50</f>
        <v>100</v>
      </c>
      <c r="H21" s="77">
        <f t="shared" si="1"/>
        <v>1116</v>
      </c>
      <c r="I21" s="47">
        <f t="shared" si="2"/>
        <v>6.8852789568376611</v>
      </c>
      <c r="J21" s="47"/>
      <c r="K21" s="1">
        <f t="shared" si="3"/>
        <v>688.52789568376613</v>
      </c>
    </row>
    <row r="22" spans="1:11" x14ac:dyDescent="0.25">
      <c r="A22" s="73">
        <v>12</v>
      </c>
      <c r="B22" s="74" t="str">
        <f>+Dati!B51</f>
        <v>Attività artigianali tipo botteghe: falegname, idraulico, fabbro, elettricista, parrucc.</v>
      </c>
      <c r="C22" s="75">
        <v>6.85</v>
      </c>
      <c r="D22" s="75">
        <v>9.34</v>
      </c>
      <c r="E22" s="76">
        <f>+Dati!H51</f>
        <v>0.5</v>
      </c>
      <c r="F22" s="47">
        <f t="shared" si="0"/>
        <v>8.0949999999999989</v>
      </c>
      <c r="G22" s="82">
        <f>+Dati!G51</f>
        <v>300</v>
      </c>
      <c r="H22" s="77">
        <f t="shared" si="1"/>
        <v>2428.4999999999995</v>
      </c>
      <c r="I22" s="47">
        <f t="shared" si="2"/>
        <v>4.9942950856273169</v>
      </c>
      <c r="J22" s="47"/>
      <c r="K22" s="1">
        <f t="shared" si="3"/>
        <v>1498.288525688195</v>
      </c>
    </row>
    <row r="23" spans="1:11" x14ac:dyDescent="0.25">
      <c r="A23" s="78">
        <v>13</v>
      </c>
      <c r="B23" s="74" t="str">
        <f>+Dati!B52</f>
        <v>Carrozzeria, autofficina, elettrauto</v>
      </c>
      <c r="C23" s="75">
        <v>7.98</v>
      </c>
      <c r="D23" s="75">
        <v>12.75</v>
      </c>
      <c r="E23" s="76">
        <f>+Dati!H52</f>
        <v>0.5</v>
      </c>
      <c r="F23" s="47">
        <f t="shared" si="0"/>
        <v>10.365</v>
      </c>
      <c r="G23" s="82">
        <f>+Dati!G52</f>
        <v>300</v>
      </c>
      <c r="H23" s="77">
        <f t="shared" si="1"/>
        <v>3109.5</v>
      </c>
      <c r="I23" s="47">
        <f t="shared" si="2"/>
        <v>6.3947953752349784</v>
      </c>
      <c r="J23" s="47"/>
      <c r="K23" s="1">
        <f t="shared" si="3"/>
        <v>1918.4386125704934</v>
      </c>
    </row>
    <row r="24" spans="1:11" x14ac:dyDescent="0.25">
      <c r="A24" s="73">
        <v>14</v>
      </c>
      <c r="B24" s="74" t="str">
        <f>+Dati!B53</f>
        <v>Attività industriali con capannoni di produzione</v>
      </c>
      <c r="C24" s="75">
        <v>3.62</v>
      </c>
      <c r="D24" s="75">
        <v>7.53</v>
      </c>
      <c r="E24" s="76">
        <f>+Dati!H53</f>
        <v>0.5</v>
      </c>
      <c r="F24" s="47">
        <f t="shared" si="0"/>
        <v>5.5750000000000002</v>
      </c>
      <c r="G24" s="82">
        <f>+Dati!G53</f>
        <v>600</v>
      </c>
      <c r="H24" s="77">
        <f t="shared" si="1"/>
        <v>3345</v>
      </c>
      <c r="I24" s="47">
        <f t="shared" si="2"/>
        <v>3.439554676018814</v>
      </c>
      <c r="J24" s="47"/>
      <c r="K24" s="1">
        <f t="shared" si="3"/>
        <v>2063.7328056112883</v>
      </c>
    </row>
    <row r="25" spans="1:11" x14ac:dyDescent="0.25">
      <c r="A25" s="78">
        <v>15</v>
      </c>
      <c r="B25" s="74" t="str">
        <f>+Dati!B54</f>
        <v>Attività artigianali di produzione beni specifici</v>
      </c>
      <c r="C25" s="75">
        <v>5.91</v>
      </c>
      <c r="D25" s="75">
        <v>8.34</v>
      </c>
      <c r="E25" s="76">
        <f>+Dati!H54</f>
        <v>0.5</v>
      </c>
      <c r="F25" s="47">
        <f t="shared" si="0"/>
        <v>7.125</v>
      </c>
      <c r="G25" s="82">
        <f>+Dati!G54</f>
        <v>300</v>
      </c>
      <c r="H25" s="77">
        <f t="shared" si="1"/>
        <v>2137.5</v>
      </c>
      <c r="I25" s="47">
        <f t="shared" si="2"/>
        <v>4.3958434200240442</v>
      </c>
      <c r="J25" s="47"/>
      <c r="K25" s="1">
        <f t="shared" si="3"/>
        <v>1318.7530260072133</v>
      </c>
    </row>
    <row r="26" spans="1:11" x14ac:dyDescent="0.25">
      <c r="A26" s="73">
        <v>16</v>
      </c>
      <c r="B26" s="169" t="str">
        <f>+Dati!B55</f>
        <v>Ristoranti, trattorie, osterie, pizzerie, mense, pub, birrerie</v>
      </c>
      <c r="C26" s="75">
        <v>48.74</v>
      </c>
      <c r="D26" s="75">
        <v>71.989999999999995</v>
      </c>
      <c r="E26" s="76">
        <f>+Dati!H55</f>
        <v>0.5</v>
      </c>
      <c r="F26" s="47">
        <f t="shared" ref="F26" si="4">+C26+E26*(D26-C26)</f>
        <v>60.364999999999995</v>
      </c>
      <c r="G26" s="82">
        <f>+Dati!G55</f>
        <v>200</v>
      </c>
      <c r="H26" s="77">
        <f t="shared" ref="H26" si="5">+F26*G26</f>
        <v>12072.999999999998</v>
      </c>
      <c r="I26" s="185">
        <f t="shared" si="2"/>
        <v>37.242819375403705</v>
      </c>
      <c r="J26" s="47"/>
      <c r="K26" s="1">
        <f t="shared" ref="K26" si="6">+G26*I26</f>
        <v>7448.5638750807411</v>
      </c>
    </row>
    <row r="27" spans="1:11" x14ac:dyDescent="0.25">
      <c r="A27" s="78"/>
      <c r="B27" s="168" t="str">
        <f>+Dati!B56</f>
        <v xml:space="preserve"> - idem utenze giornaliere</v>
      </c>
      <c r="C27" s="171">
        <f t="shared" ref="C27:D27" si="7">+C26*(1+$C$7)</f>
        <v>97.48</v>
      </c>
      <c r="D27" s="171">
        <f t="shared" si="7"/>
        <v>143.97999999999999</v>
      </c>
      <c r="E27" s="76">
        <f>+Dati!H56</f>
        <v>0.5</v>
      </c>
      <c r="F27" s="96">
        <f t="shared" si="0"/>
        <v>120.72999999999999</v>
      </c>
      <c r="G27" s="82">
        <f>+Dati!G56</f>
        <v>200</v>
      </c>
      <c r="H27" s="183">
        <f t="shared" si="1"/>
        <v>24145.999999999996</v>
      </c>
      <c r="I27" s="96">
        <f t="shared" si="2"/>
        <v>74.485638750807411</v>
      </c>
      <c r="J27" s="96"/>
      <c r="K27" s="184">
        <f t="shared" si="3"/>
        <v>14897.127750161482</v>
      </c>
    </row>
    <row r="28" spans="1:11" ht="14.25" customHeight="1" x14ac:dyDescent="0.25">
      <c r="A28" s="73">
        <v>17</v>
      </c>
      <c r="B28" s="74" t="str">
        <f>+Dati!B57</f>
        <v>Bar, caffè, pasticceria</v>
      </c>
      <c r="C28" s="75">
        <v>38.5</v>
      </c>
      <c r="D28" s="75">
        <v>55.61</v>
      </c>
      <c r="E28" s="76">
        <f>+Dati!H57</f>
        <v>0.5</v>
      </c>
      <c r="F28" s="47">
        <f t="shared" si="0"/>
        <v>47.055</v>
      </c>
      <c r="G28" s="82">
        <f>+Dati!G57</f>
        <v>100</v>
      </c>
      <c r="H28" s="77">
        <f t="shared" si="1"/>
        <v>4705.5</v>
      </c>
      <c r="I28" s="47">
        <f t="shared" si="2"/>
        <v>29.031075386558793</v>
      </c>
      <c r="J28" s="47"/>
      <c r="K28" s="1">
        <f t="shared" si="3"/>
        <v>2903.1075386558791</v>
      </c>
    </row>
    <row r="29" spans="1:11" x14ac:dyDescent="0.25">
      <c r="A29" s="78">
        <v>18</v>
      </c>
      <c r="B29" s="74" t="str">
        <f>+Dati!B58</f>
        <v>Supermercato, pane e pasta, macelleria, salumi e formaggi, generi alimentari</v>
      </c>
      <c r="C29" s="75">
        <v>5</v>
      </c>
      <c r="D29" s="75">
        <v>24.68</v>
      </c>
      <c r="E29" s="76">
        <f>+Dati!H58</f>
        <v>0.5</v>
      </c>
      <c r="F29" s="47">
        <f t="shared" si="0"/>
        <v>14.84</v>
      </c>
      <c r="G29" s="82">
        <f>+Dati!G58</f>
        <v>150</v>
      </c>
      <c r="H29" s="77">
        <f t="shared" si="1"/>
        <v>2226</v>
      </c>
      <c r="I29" s="47">
        <f t="shared" si="2"/>
        <v>9.1556935232500791</v>
      </c>
      <c r="J29" s="47"/>
      <c r="K29" s="1">
        <f t="shared" si="3"/>
        <v>1373.3540284875119</v>
      </c>
    </row>
    <row r="30" spans="1:11" x14ac:dyDescent="0.25">
      <c r="A30" s="73">
        <v>19</v>
      </c>
      <c r="B30" s="74" t="str">
        <f>+Dati!B59</f>
        <v xml:space="preserve">Plurilicenze alimentari e/o miste </v>
      </c>
      <c r="C30" s="75">
        <v>18.8</v>
      </c>
      <c r="D30" s="75">
        <v>26.55</v>
      </c>
      <c r="E30" s="76">
        <f>+Dati!H59</f>
        <v>0.5</v>
      </c>
      <c r="F30" s="47">
        <f t="shared" si="0"/>
        <v>22.675000000000001</v>
      </c>
      <c r="G30" s="82">
        <f>+Dati!G59</f>
        <v>200</v>
      </c>
      <c r="H30" s="77">
        <f t="shared" si="1"/>
        <v>4535</v>
      </c>
      <c r="I30" s="47">
        <f t="shared" si="2"/>
        <v>13.98957888407652</v>
      </c>
      <c r="J30" s="47"/>
      <c r="K30" s="1">
        <f t="shared" si="3"/>
        <v>2797.9157768153041</v>
      </c>
    </row>
    <row r="31" spans="1:11" x14ac:dyDescent="0.25">
      <c r="A31" s="73">
        <v>20</v>
      </c>
      <c r="B31" s="74" t="str">
        <f>+Dati!B60</f>
        <v>Ortofrutta, pescherie, fiori e piante</v>
      </c>
      <c r="C31" s="75">
        <v>3</v>
      </c>
      <c r="D31" s="75">
        <v>95.75</v>
      </c>
      <c r="E31" s="76">
        <f>+Dati!H60</f>
        <v>0.5</v>
      </c>
      <c r="F31" s="47">
        <f t="shared" ref="F31" si="8">+C31+E31*(D31-C31)</f>
        <v>49.375</v>
      </c>
      <c r="G31" s="82">
        <f>+Dati!G60</f>
        <v>100</v>
      </c>
      <c r="H31" s="77">
        <f t="shared" ref="H31" si="9">+F31*G31</f>
        <v>4937.5</v>
      </c>
      <c r="I31" s="185">
        <f t="shared" si="2"/>
        <v>30.462423700166624</v>
      </c>
      <c r="J31" s="47"/>
      <c r="K31" s="1">
        <f t="shared" ref="K31" si="10">+G31*I31</f>
        <v>3046.2423700166623</v>
      </c>
    </row>
    <row r="32" spans="1:11" x14ac:dyDescent="0.25">
      <c r="A32" s="78"/>
      <c r="B32" s="168" t="str">
        <f>+Dati!B61</f>
        <v xml:space="preserve"> - idem utenze giornaliere</v>
      </c>
      <c r="C32" s="171">
        <f t="shared" ref="C32:D32" si="11">+C31*(1+$C$7)</f>
        <v>6</v>
      </c>
      <c r="D32" s="171">
        <f t="shared" si="11"/>
        <v>191.5</v>
      </c>
      <c r="E32" s="76">
        <f>+Dati!H61</f>
        <v>0.5</v>
      </c>
      <c r="F32" s="96">
        <f t="shared" si="0"/>
        <v>98.75</v>
      </c>
      <c r="G32" s="82">
        <f>+Dati!G61</f>
        <v>50</v>
      </c>
      <c r="H32" s="183">
        <f t="shared" si="1"/>
        <v>4937.5</v>
      </c>
      <c r="I32" s="96">
        <f t="shared" si="2"/>
        <v>60.924847400333249</v>
      </c>
      <c r="J32" s="96"/>
      <c r="K32" s="184">
        <f t="shared" si="3"/>
        <v>3046.2423700166623</v>
      </c>
    </row>
    <row r="33" spans="1:11" ht="15.75" thickBot="1" x14ac:dyDescent="0.3">
      <c r="A33" s="170">
        <v>21</v>
      </c>
      <c r="B33" s="74" t="str">
        <f>+Dati!B62</f>
        <v>Discoteche, night-club</v>
      </c>
      <c r="C33" s="75">
        <v>8.9499999999999993</v>
      </c>
      <c r="D33" s="75">
        <v>15.43</v>
      </c>
      <c r="E33" s="76">
        <f>+Dati!H62</f>
        <v>0.5</v>
      </c>
      <c r="F33" s="47">
        <f t="shared" si="0"/>
        <v>12.19</v>
      </c>
      <c r="G33" s="82">
        <f>+Dati!G62</f>
        <v>100</v>
      </c>
      <c r="H33" s="77">
        <f t="shared" si="1"/>
        <v>1219</v>
      </c>
      <c r="I33" s="47">
        <f t="shared" si="2"/>
        <v>7.5207482512411366</v>
      </c>
      <c r="K33" s="1">
        <f t="shared" si="3"/>
        <v>752.07482512411366</v>
      </c>
    </row>
    <row r="34" spans="1:11" ht="15.75" thickBot="1" x14ac:dyDescent="0.3">
      <c r="B34" s="58"/>
      <c r="H34" s="175">
        <f>SUM(H10:H33)</f>
        <v>94822.25</v>
      </c>
      <c r="K34" s="83">
        <f>SUM(K10:K33)</f>
        <v>58501.580874999992</v>
      </c>
    </row>
    <row r="35" spans="1:11" x14ac:dyDescent="0.25">
      <c r="B35" s="58"/>
      <c r="K35" s="88" t="str">
        <f>+IF(K34=C4,"Verificato","non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Ud</vt:lpstr>
      <vt:lpstr>TFnd</vt:lpstr>
      <vt:lpstr>TVnd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maurizio</cp:lastModifiedBy>
  <dcterms:created xsi:type="dcterms:W3CDTF">2012-08-16T07:55:30Z</dcterms:created>
  <dcterms:modified xsi:type="dcterms:W3CDTF">2012-10-15T17:41:30Z</dcterms:modified>
</cp:coreProperties>
</file>